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40" yWindow="240" windowWidth="25360" windowHeight="14460" tabRatio="500"/>
  </bookViews>
  <sheets>
    <sheet name="EA strateegia" sheetId="1" r:id="rId1"/>
    <sheet name="Arvestusüksus" sheetId="2" r:id="rId2"/>
  </sheets>
  <externalReferences>
    <externalReference r:id="rId3"/>
    <externalReference r:id="rId4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5" i="1" l="1"/>
  <c r="F75" i="1"/>
  <c r="E75" i="1"/>
  <c r="D75" i="1"/>
  <c r="C75" i="1"/>
  <c r="G74" i="1"/>
  <c r="F74" i="1"/>
  <c r="E74" i="1"/>
  <c r="D74" i="1"/>
  <c r="C74" i="1"/>
  <c r="C72" i="1"/>
  <c r="G72" i="1"/>
  <c r="F72" i="1"/>
  <c r="E72" i="1"/>
  <c r="D72" i="1"/>
  <c r="C71" i="1"/>
  <c r="G71" i="1"/>
  <c r="F71" i="1"/>
  <c r="E71" i="1"/>
  <c r="D71" i="1"/>
  <c r="G174" i="1"/>
  <c r="F174" i="1"/>
  <c r="E174" i="1"/>
  <c r="D174" i="1"/>
  <c r="C174" i="1"/>
  <c r="G173" i="1"/>
  <c r="F173" i="1"/>
  <c r="E173" i="1"/>
  <c r="D173" i="1"/>
  <c r="C173" i="1"/>
  <c r="G130" i="1"/>
  <c r="F130" i="1"/>
  <c r="E130" i="1"/>
  <c r="D130" i="1"/>
  <c r="C130" i="1"/>
  <c r="D171" i="1"/>
  <c r="E102" i="1"/>
  <c r="F102" i="1"/>
  <c r="G102" i="1"/>
  <c r="G171" i="1"/>
  <c r="F171" i="1"/>
  <c r="E171" i="1"/>
  <c r="G81" i="1"/>
  <c r="F81" i="1"/>
  <c r="E81" i="1"/>
  <c r="D81" i="1"/>
  <c r="G80" i="1"/>
  <c r="F80" i="1"/>
  <c r="E80" i="1"/>
  <c r="D80" i="1"/>
  <c r="C81" i="1"/>
  <c r="C80" i="1"/>
  <c r="G69" i="1"/>
  <c r="F69" i="1"/>
  <c r="E69" i="1"/>
  <c r="D69" i="1"/>
  <c r="C69" i="1"/>
  <c r="G68" i="1"/>
  <c r="F68" i="1"/>
  <c r="E68" i="1"/>
  <c r="D68" i="1"/>
  <c r="C68" i="1"/>
  <c r="G2" i="2"/>
  <c r="G3" i="2"/>
  <c r="G5" i="2"/>
  <c r="G4" i="2"/>
  <c r="G14" i="2"/>
  <c r="G17" i="2"/>
  <c r="G13" i="2"/>
  <c r="B12" i="2"/>
  <c r="C9" i="2"/>
  <c r="C12" i="2"/>
  <c r="D9" i="2"/>
  <c r="D12" i="2"/>
  <c r="E9" i="2"/>
  <c r="E12" i="2"/>
  <c r="F9" i="2"/>
  <c r="F12" i="2"/>
  <c r="G9" i="2"/>
  <c r="G12" i="2"/>
  <c r="G15" i="2"/>
  <c r="G19" i="2"/>
  <c r="F2" i="2"/>
  <c r="F3" i="2"/>
  <c r="F5" i="2"/>
  <c r="F4" i="2"/>
  <c r="F14" i="2"/>
  <c r="F17" i="2"/>
  <c r="F13" i="2"/>
  <c r="F15" i="2"/>
  <c r="F19" i="2"/>
  <c r="E2" i="2"/>
  <c r="E3" i="2"/>
  <c r="E5" i="2"/>
  <c r="E4" i="2"/>
  <c r="E14" i="2"/>
  <c r="E17" i="2"/>
  <c r="E13" i="2"/>
  <c r="E15" i="2"/>
  <c r="E19" i="2"/>
  <c r="D2" i="2"/>
  <c r="D3" i="2"/>
  <c r="D5" i="2"/>
  <c r="D4" i="2"/>
  <c r="D14" i="2"/>
  <c r="D17" i="2"/>
  <c r="D13" i="2"/>
  <c r="D15" i="2"/>
  <c r="D19" i="2"/>
  <c r="C2" i="2"/>
  <c r="C3" i="2"/>
  <c r="C5" i="2"/>
  <c r="C4" i="2"/>
  <c r="C14" i="2"/>
  <c r="C17" i="2"/>
  <c r="C13" i="2"/>
  <c r="C15" i="2"/>
  <c r="C19" i="2"/>
  <c r="B2" i="2"/>
  <c r="B3" i="2"/>
  <c r="B5" i="2"/>
  <c r="B4" i="2"/>
  <c r="B14" i="2"/>
  <c r="B17" i="2"/>
  <c r="B13" i="2"/>
  <c r="B15" i="2"/>
  <c r="B19" i="2"/>
  <c r="G18" i="2"/>
  <c r="F18" i="2"/>
  <c r="E18" i="2"/>
  <c r="D18" i="2"/>
  <c r="C18" i="2"/>
  <c r="B18" i="2"/>
  <c r="G16" i="2"/>
  <c r="F16" i="2"/>
  <c r="E16" i="2"/>
  <c r="D16" i="2"/>
  <c r="C16" i="2"/>
  <c r="B16" i="2"/>
  <c r="G6" i="2"/>
  <c r="G7" i="2"/>
  <c r="G8" i="2"/>
  <c r="G10" i="2"/>
  <c r="F6" i="2"/>
  <c r="F7" i="2"/>
  <c r="F8" i="2"/>
  <c r="F10" i="2"/>
  <c r="E6" i="2"/>
  <c r="E7" i="2"/>
  <c r="E8" i="2"/>
  <c r="E10" i="2"/>
  <c r="D6" i="2"/>
  <c r="D7" i="2"/>
  <c r="D8" i="2"/>
  <c r="D10" i="2"/>
  <c r="C6" i="2"/>
  <c r="C7" i="2"/>
  <c r="C8" i="2"/>
  <c r="C10" i="2"/>
  <c r="B9" i="2"/>
  <c r="B6" i="2"/>
  <c r="B7" i="2"/>
  <c r="B8" i="2"/>
  <c r="B10" i="2"/>
  <c r="G172" i="1"/>
  <c r="F172" i="1"/>
  <c r="E172" i="1"/>
  <c r="D172" i="1"/>
  <c r="C172" i="1"/>
  <c r="G169" i="1"/>
  <c r="F169" i="1"/>
  <c r="E169" i="1"/>
  <c r="D169" i="1"/>
  <c r="C169" i="1"/>
  <c r="G166" i="1"/>
  <c r="F166" i="1"/>
  <c r="E166" i="1"/>
  <c r="D166" i="1"/>
  <c r="C166" i="1"/>
  <c r="G163" i="1"/>
  <c r="F163" i="1"/>
  <c r="E163" i="1"/>
  <c r="D163" i="1"/>
  <c r="C163" i="1"/>
  <c r="G160" i="1"/>
  <c r="F160" i="1"/>
  <c r="E160" i="1"/>
  <c r="D160" i="1"/>
  <c r="C160" i="1"/>
  <c r="G157" i="1"/>
  <c r="F157" i="1"/>
  <c r="E157" i="1"/>
  <c r="D157" i="1"/>
  <c r="C157" i="1"/>
  <c r="G154" i="1"/>
  <c r="F154" i="1"/>
  <c r="E154" i="1"/>
  <c r="D154" i="1"/>
  <c r="C154" i="1"/>
  <c r="G151" i="1"/>
  <c r="F151" i="1"/>
  <c r="E151" i="1"/>
  <c r="D151" i="1"/>
  <c r="C151" i="1"/>
  <c r="G148" i="1"/>
  <c r="F148" i="1"/>
  <c r="E148" i="1"/>
  <c r="D148" i="1"/>
  <c r="C148" i="1"/>
  <c r="G145" i="1"/>
  <c r="F145" i="1"/>
  <c r="E145" i="1"/>
  <c r="D145" i="1"/>
  <c r="C145" i="1"/>
  <c r="G142" i="1"/>
  <c r="F142" i="1"/>
  <c r="E142" i="1"/>
  <c r="D142" i="1"/>
  <c r="C142" i="1"/>
  <c r="G139" i="1"/>
  <c r="F139" i="1"/>
  <c r="E139" i="1"/>
  <c r="D139" i="1"/>
  <c r="C139" i="1"/>
  <c r="G136" i="1"/>
  <c r="F136" i="1"/>
  <c r="E136" i="1"/>
  <c r="D136" i="1"/>
  <c r="C136" i="1"/>
  <c r="G133" i="1"/>
  <c r="F133" i="1"/>
  <c r="E133" i="1"/>
  <c r="D133" i="1"/>
  <c r="C133" i="1"/>
  <c r="G127" i="1"/>
  <c r="F127" i="1"/>
  <c r="E127" i="1"/>
  <c r="D127" i="1"/>
  <c r="C127" i="1"/>
  <c r="G124" i="1"/>
  <c r="F124" i="1"/>
  <c r="E124" i="1"/>
  <c r="D124" i="1"/>
  <c r="C124" i="1"/>
  <c r="G121" i="1"/>
  <c r="F121" i="1"/>
  <c r="E121" i="1"/>
  <c r="D121" i="1"/>
  <c r="C121" i="1"/>
  <c r="G118" i="1"/>
  <c r="F118" i="1"/>
  <c r="E118" i="1"/>
  <c r="D118" i="1"/>
  <c r="C118" i="1"/>
  <c r="G115" i="1"/>
  <c r="F115" i="1"/>
  <c r="E115" i="1"/>
  <c r="D115" i="1"/>
  <c r="C115" i="1"/>
  <c r="G112" i="1"/>
  <c r="F112" i="1"/>
  <c r="E112" i="1"/>
  <c r="D112" i="1"/>
  <c r="C112" i="1"/>
  <c r="G109" i="1"/>
  <c r="F109" i="1"/>
  <c r="E109" i="1"/>
  <c r="D109" i="1"/>
  <c r="C109" i="1"/>
  <c r="G106" i="1"/>
  <c r="F106" i="1"/>
  <c r="E106" i="1"/>
  <c r="D106" i="1"/>
  <c r="C106" i="1"/>
  <c r="G103" i="1"/>
  <c r="F103" i="1"/>
  <c r="E103" i="1"/>
  <c r="D103" i="1"/>
  <c r="C103" i="1"/>
  <c r="G100" i="1"/>
  <c r="F100" i="1"/>
  <c r="E100" i="1"/>
  <c r="D100" i="1"/>
  <c r="C100" i="1"/>
  <c r="G97" i="1"/>
  <c r="F97" i="1"/>
  <c r="E97" i="1"/>
  <c r="D97" i="1"/>
  <c r="C97" i="1"/>
  <c r="G65" i="1"/>
  <c r="G77" i="1"/>
  <c r="G83" i="1"/>
  <c r="G89" i="1"/>
  <c r="G92" i="1"/>
  <c r="G66" i="1"/>
  <c r="G78" i="1"/>
  <c r="G84" i="1"/>
  <c r="G90" i="1"/>
  <c r="G93" i="1"/>
  <c r="G91" i="1"/>
  <c r="G23" i="1"/>
  <c r="G94" i="1"/>
  <c r="F65" i="1"/>
  <c r="F77" i="1"/>
  <c r="F83" i="1"/>
  <c r="F89" i="1"/>
  <c r="F92" i="1"/>
  <c r="F66" i="1"/>
  <c r="F78" i="1"/>
  <c r="F84" i="1"/>
  <c r="F90" i="1"/>
  <c r="F93" i="1"/>
  <c r="F91" i="1"/>
  <c r="F23" i="1"/>
  <c r="F94" i="1"/>
  <c r="E65" i="1"/>
  <c r="E77" i="1"/>
  <c r="E83" i="1"/>
  <c r="E89" i="1"/>
  <c r="E92" i="1"/>
  <c r="E66" i="1"/>
  <c r="E78" i="1"/>
  <c r="E84" i="1"/>
  <c r="E90" i="1"/>
  <c r="E93" i="1"/>
  <c r="E91" i="1"/>
  <c r="E23" i="1"/>
  <c r="E94" i="1"/>
  <c r="D65" i="1"/>
  <c r="D77" i="1"/>
  <c r="D83" i="1"/>
  <c r="D89" i="1"/>
  <c r="D92" i="1"/>
  <c r="D66" i="1"/>
  <c r="D78" i="1"/>
  <c r="D84" i="1"/>
  <c r="D90" i="1"/>
  <c r="D93" i="1"/>
  <c r="D91" i="1"/>
  <c r="D23" i="1"/>
  <c r="D94" i="1"/>
  <c r="C23" i="1"/>
  <c r="C65" i="1"/>
  <c r="C77" i="1"/>
  <c r="C83" i="1"/>
  <c r="C92" i="1"/>
  <c r="C66" i="1"/>
  <c r="C78" i="1"/>
  <c r="C84" i="1"/>
  <c r="C93" i="1"/>
  <c r="C91" i="1"/>
  <c r="B23" i="1"/>
  <c r="B74" i="1"/>
  <c r="B83" i="1"/>
  <c r="B92" i="1"/>
  <c r="B60" i="1"/>
  <c r="B69" i="1"/>
  <c r="B75" i="1"/>
  <c r="B81" i="1"/>
  <c r="B84" i="1"/>
  <c r="B87" i="1"/>
  <c r="B93" i="1"/>
  <c r="B91" i="1"/>
  <c r="G88" i="1"/>
  <c r="F88" i="1"/>
  <c r="E88" i="1"/>
  <c r="D88" i="1"/>
  <c r="C88" i="1"/>
  <c r="G85" i="1"/>
  <c r="F85" i="1"/>
  <c r="E85" i="1"/>
  <c r="D85" i="1"/>
  <c r="C85" i="1"/>
  <c r="B85" i="1"/>
  <c r="G82" i="1"/>
  <c r="F82" i="1"/>
  <c r="E82" i="1"/>
  <c r="D82" i="1"/>
  <c r="C82" i="1"/>
  <c r="B82" i="1"/>
  <c r="G79" i="1"/>
  <c r="F79" i="1"/>
  <c r="E79" i="1"/>
  <c r="D79" i="1"/>
  <c r="C79" i="1"/>
  <c r="B79" i="1"/>
  <c r="G76" i="1"/>
  <c r="F76" i="1"/>
  <c r="E76" i="1"/>
  <c r="D76" i="1"/>
  <c r="C76" i="1"/>
  <c r="B76" i="1"/>
  <c r="G73" i="1"/>
  <c r="F73" i="1"/>
  <c r="E73" i="1"/>
  <c r="D73" i="1"/>
  <c r="C73" i="1"/>
  <c r="B73" i="1"/>
  <c r="G70" i="1"/>
  <c r="F70" i="1"/>
  <c r="E70" i="1"/>
  <c r="D70" i="1"/>
  <c r="C70" i="1"/>
  <c r="B70" i="1"/>
  <c r="G67" i="1"/>
  <c r="F67" i="1"/>
  <c r="E67" i="1"/>
  <c r="D67" i="1"/>
  <c r="C67" i="1"/>
  <c r="B67" i="1"/>
  <c r="G64" i="1"/>
  <c r="F64" i="1"/>
  <c r="E64" i="1"/>
  <c r="D64" i="1"/>
  <c r="C64" i="1"/>
  <c r="B64" i="1"/>
  <c r="G61" i="1"/>
  <c r="F61" i="1"/>
  <c r="E61" i="1"/>
  <c r="D61" i="1"/>
  <c r="C61" i="1"/>
  <c r="B61" i="1"/>
  <c r="G58" i="1"/>
  <c r="F58" i="1"/>
  <c r="E58" i="1"/>
  <c r="D58" i="1"/>
  <c r="C58" i="1"/>
  <c r="B58" i="1"/>
  <c r="G3" i="1"/>
  <c r="G7" i="1"/>
  <c r="G8" i="1"/>
  <c r="G12" i="1"/>
  <c r="G2" i="1"/>
  <c r="G14" i="1"/>
  <c r="G17" i="1"/>
  <c r="G19" i="1"/>
  <c r="G15" i="1"/>
  <c r="G13" i="1"/>
  <c r="G55" i="1"/>
  <c r="F4" i="1"/>
  <c r="F3" i="1"/>
  <c r="F7" i="1"/>
  <c r="F8" i="1"/>
  <c r="F12" i="1"/>
  <c r="F2" i="1"/>
  <c r="F14" i="1"/>
  <c r="F17" i="1"/>
  <c r="F19" i="1"/>
  <c r="F15" i="1"/>
  <c r="F13" i="1"/>
  <c r="F55" i="1"/>
  <c r="E4" i="1"/>
  <c r="E3" i="1"/>
  <c r="E7" i="1"/>
  <c r="E8" i="1"/>
  <c r="E12" i="1"/>
  <c r="E2" i="1"/>
  <c r="E14" i="1"/>
  <c r="E17" i="1"/>
  <c r="E19" i="1"/>
  <c r="E15" i="1"/>
  <c r="E13" i="1"/>
  <c r="E55" i="1"/>
  <c r="D4" i="1"/>
  <c r="D3" i="1"/>
  <c r="D7" i="1"/>
  <c r="D8" i="1"/>
  <c r="D12" i="1"/>
  <c r="D2" i="1"/>
  <c r="D14" i="1"/>
  <c r="D17" i="1"/>
  <c r="D19" i="1"/>
  <c r="D15" i="1"/>
  <c r="D13" i="1"/>
  <c r="D55" i="1"/>
  <c r="C4" i="1"/>
  <c r="C5" i="1"/>
  <c r="C6" i="1"/>
  <c r="C3" i="1"/>
  <c r="C7" i="1"/>
  <c r="C9" i="1"/>
  <c r="C10" i="1"/>
  <c r="C11" i="1"/>
  <c r="C8" i="1"/>
  <c r="C12" i="1"/>
  <c r="C2" i="1"/>
  <c r="C14" i="1"/>
  <c r="C16" i="1"/>
  <c r="C17" i="1"/>
  <c r="C19" i="1"/>
  <c r="C15" i="1"/>
  <c r="C13" i="1"/>
  <c r="C55" i="1"/>
  <c r="B4" i="1"/>
  <c r="B5" i="1"/>
  <c r="B6" i="1"/>
  <c r="B3" i="1"/>
  <c r="B7" i="1"/>
  <c r="B9" i="1"/>
  <c r="B10" i="1"/>
  <c r="B11" i="1"/>
  <c r="B8" i="1"/>
  <c r="B12" i="1"/>
  <c r="B2" i="1"/>
  <c r="B14" i="1"/>
  <c r="B16" i="1"/>
  <c r="B17" i="1"/>
  <c r="B19" i="1"/>
  <c r="B15" i="1"/>
  <c r="B13" i="1"/>
  <c r="B55" i="1"/>
  <c r="G54" i="1"/>
  <c r="F54" i="1"/>
  <c r="E54" i="1"/>
  <c r="D54" i="1"/>
  <c r="C54" i="1"/>
  <c r="G53" i="1"/>
  <c r="F53" i="1"/>
  <c r="E53" i="1"/>
  <c r="D53" i="1"/>
  <c r="C53" i="1"/>
  <c r="G24" i="1"/>
  <c r="G35" i="1"/>
  <c r="F24" i="1"/>
  <c r="F35" i="1"/>
  <c r="E24" i="1"/>
  <c r="E35" i="1"/>
  <c r="D24" i="1"/>
  <c r="D35" i="1"/>
  <c r="C24" i="1"/>
  <c r="C26" i="1"/>
  <c r="C28" i="1"/>
  <c r="C30" i="1"/>
  <c r="C35" i="1"/>
  <c r="B25" i="1"/>
  <c r="B24" i="1"/>
  <c r="B26" i="1"/>
  <c r="B28" i="1"/>
  <c r="B30" i="1"/>
  <c r="B35" i="1"/>
  <c r="G20" i="1"/>
  <c r="G25" i="1"/>
  <c r="G21" i="1"/>
  <c r="G33" i="1"/>
  <c r="G36" i="1"/>
  <c r="G34" i="1"/>
  <c r="G38" i="1"/>
  <c r="G37" i="1"/>
  <c r="G51" i="1"/>
  <c r="F20" i="1"/>
  <c r="F25" i="1"/>
  <c r="F21" i="1"/>
  <c r="F33" i="1"/>
  <c r="F36" i="1"/>
  <c r="F34" i="1"/>
  <c r="F38" i="1"/>
  <c r="F37" i="1"/>
  <c r="F51" i="1"/>
  <c r="E20" i="1"/>
  <c r="E22" i="1"/>
  <c r="E25" i="1"/>
  <c r="E21" i="1"/>
  <c r="E33" i="1"/>
  <c r="E36" i="1"/>
  <c r="E34" i="1"/>
  <c r="E38" i="1"/>
  <c r="E37" i="1"/>
  <c r="E51" i="1"/>
  <c r="D20" i="1"/>
  <c r="D22" i="1"/>
  <c r="D25" i="1"/>
  <c r="D21" i="1"/>
  <c r="D33" i="1"/>
  <c r="D34" i="1"/>
  <c r="D38" i="1"/>
  <c r="D37" i="1"/>
  <c r="D51" i="1"/>
  <c r="C20" i="1"/>
  <c r="C22" i="1"/>
  <c r="C25" i="1"/>
  <c r="C27" i="1"/>
  <c r="C29" i="1"/>
  <c r="C31" i="1"/>
  <c r="C32" i="1"/>
  <c r="C21" i="1"/>
  <c r="C33" i="1"/>
  <c r="C36" i="1"/>
  <c r="C34" i="1"/>
  <c r="C37" i="1"/>
  <c r="C38" i="1"/>
  <c r="C51" i="1"/>
  <c r="B20" i="1"/>
  <c r="B22" i="1"/>
  <c r="B27" i="1"/>
  <c r="B29" i="1"/>
  <c r="B31" i="1"/>
  <c r="B32" i="1"/>
  <c r="B21" i="1"/>
  <c r="B33" i="1"/>
  <c r="B36" i="1"/>
  <c r="B34" i="1"/>
  <c r="B37" i="1"/>
  <c r="B38" i="1"/>
  <c r="B51" i="1"/>
  <c r="G47" i="1"/>
  <c r="B42" i="1"/>
  <c r="C42" i="1"/>
  <c r="D42" i="1"/>
  <c r="E42" i="1"/>
  <c r="F42" i="1"/>
  <c r="G42" i="1"/>
  <c r="B41" i="1"/>
  <c r="C41" i="1"/>
  <c r="D41" i="1"/>
  <c r="E41" i="1"/>
  <c r="F41" i="1"/>
  <c r="G41" i="1"/>
  <c r="G45" i="1"/>
  <c r="G49" i="1"/>
  <c r="F47" i="1"/>
  <c r="F45" i="1"/>
  <c r="F49" i="1"/>
  <c r="E47" i="1"/>
  <c r="E45" i="1"/>
  <c r="E49" i="1"/>
  <c r="D47" i="1"/>
  <c r="D45" i="1"/>
  <c r="D49" i="1"/>
  <c r="C44" i="1"/>
  <c r="C47" i="1"/>
  <c r="C45" i="1"/>
  <c r="C49" i="1"/>
  <c r="B44" i="1"/>
  <c r="B47" i="1"/>
  <c r="B45" i="1"/>
  <c r="B49" i="1"/>
  <c r="G48" i="1"/>
  <c r="F48" i="1"/>
  <c r="E48" i="1"/>
  <c r="D48" i="1"/>
  <c r="C48" i="1"/>
  <c r="B48" i="1"/>
  <c r="G46" i="1"/>
  <c r="F46" i="1"/>
  <c r="E46" i="1"/>
  <c r="D46" i="1"/>
  <c r="C46" i="1"/>
  <c r="B46" i="1"/>
</calcChain>
</file>

<file path=xl/sharedStrings.xml><?xml version="1.0" encoding="utf-8"?>
<sst xmlns="http://schemas.openxmlformats.org/spreadsheetml/2006/main" count="207" uniqueCount="115">
  <si>
    <t>2021 täitmine</t>
  </si>
  <si>
    <t>2022 eeldatav täitmine</t>
  </si>
  <si>
    <t xml:space="preserve">2023 eelarve  </t>
  </si>
  <si>
    <t xml:space="preserve">2024 eelarve  </t>
  </si>
  <si>
    <t xml:space="preserve">2025 eelarve  </t>
  </si>
  <si>
    <t xml:space="preserve">2026 eelarve  </t>
  </si>
  <si>
    <t>Põhitegevuse tulud kokku</t>
  </si>
  <si>
    <t xml:space="preserve">     Maksutulud</t>
  </si>
  <si>
    <t xml:space="preserve">          sh tulumaks</t>
  </si>
  <si>
    <t xml:space="preserve">          sh maamaks</t>
  </si>
  <si>
    <t xml:space="preserve">          sh muud maksutulud</t>
  </si>
  <si>
    <t xml:space="preserve">    Tulud kaupade ja teenuste müügist</t>
  </si>
  <si>
    <t xml:space="preserve">    Saadavad toetused tegevuskuludeks</t>
  </si>
  <si>
    <t xml:space="preserve">         sh  tasandusfond </t>
  </si>
  <si>
    <t xml:space="preserve">         sh  toetusfond</t>
  </si>
  <si>
    <t xml:space="preserve">         sh muud saadud toetused tegevuskuludeks</t>
  </si>
  <si>
    <t xml:space="preserve">     Muud tegevustulud</t>
  </si>
  <si>
    <t>Põhitegevuse kulud kokku</t>
  </si>
  <si>
    <t xml:space="preserve">     Antavad toetused tegevuskuludeks</t>
  </si>
  <si>
    <t xml:space="preserve">     Muud tegevuskulud</t>
  </si>
  <si>
    <t xml:space="preserve">          sh personalikulud</t>
  </si>
  <si>
    <t xml:space="preserve">          sh majandamiskulud</t>
  </si>
  <si>
    <r>
      <t xml:space="preserve">             sh alates </t>
    </r>
    <r>
      <rPr>
        <b/>
        <i/>
        <sz val="8"/>
        <rFont val="Arial"/>
        <family val="2"/>
      </rPr>
      <t>2012</t>
    </r>
    <r>
      <rPr>
        <i/>
        <sz val="8"/>
        <rFont val="Arial"/>
        <family val="2"/>
      </rPr>
      <t xml:space="preserve"> sõlmitud katkestamatud kasutusrendimaksed </t>
    </r>
  </si>
  <si>
    <t xml:space="preserve">          sh muud kulud</t>
  </si>
  <si>
    <t>Põhitegevuse tulem</t>
  </si>
  <si>
    <t>Investeerimistegevus kokku</t>
  </si>
  <si>
    <t xml:space="preserve">    Põhivara müük (+)</t>
  </si>
  <si>
    <t xml:space="preserve">    Põhivara soetus (-)</t>
  </si>
  <si>
    <t xml:space="preserve">         sh projektide omaosalus</t>
  </si>
  <si>
    <t xml:space="preserve">   Põhivara soetuseks saadav sihtfinantseerimine (+)</t>
  </si>
  <si>
    <t xml:space="preserve">   Põhivara soetuseks antav sihtfinantseerimine (-)</t>
  </si>
  <si>
    <t xml:space="preserve">   Osaluste ning muude aktsiate ja osade müük (+)</t>
  </si>
  <si>
    <t xml:space="preserve">   Osaluste ning muude aktsiate ja osade soetus (-)</t>
  </si>
  <si>
    <t xml:space="preserve">   Tagasilaekuvad laenud (+)</t>
  </si>
  <si>
    <t xml:space="preserve">   Antavad laenud (-)</t>
  </si>
  <si>
    <t xml:space="preserve">   Finantstulud (+)</t>
  </si>
  <si>
    <t xml:space="preserve">   Finantskulud (-)</t>
  </si>
  <si>
    <t>Eelarve tulem</t>
  </si>
  <si>
    <t>Finantseerimistegevus</t>
  </si>
  <si>
    <t xml:space="preserve">   Kohustiste võtmine (+)</t>
  </si>
  <si>
    <t xml:space="preserve">   Kohustiste tasumine (-)</t>
  </si>
  <si>
    <t>Likviidsete varade muutus (+ suurenemine, - vähenemine)</t>
  </si>
  <si>
    <t>Nõuete ja kohustiste saldode muutus kokku (+ /-)</t>
  </si>
  <si>
    <t xml:space="preserve">   sh nõuete muutus (- suurenemine/ + vähenemine)</t>
  </si>
  <si>
    <t xml:space="preserve">   sh kohustiste muutus (+ suurenemine/ - vähenemine)</t>
  </si>
  <si>
    <t>Likviidsete varade suunamata jääk aasta lõpuks</t>
  </si>
  <si>
    <t>Võlakohustised kokku aasta lõpu seisuga</t>
  </si>
  <si>
    <t xml:space="preserve">    sh üle 1 a perioodiga mittekatkestatav kasutusrent (konto 913100), sihtfinantseerimise kohustised (konto 253550), saadud ettemaksed (kontogrupp 2038)</t>
  </si>
  <si>
    <t xml:space="preserve">    sh kohustised, mille võrra võib ületada netovõlakoormuse piirmäära</t>
  </si>
  <si>
    <r>
      <t>Netovõlakoormus (</t>
    </r>
    <r>
      <rPr>
        <b/>
        <u/>
        <sz val="10"/>
        <rFont val="Arial"/>
        <family val="2"/>
      </rPr>
      <t>eurodes</t>
    </r>
    <r>
      <rPr>
        <b/>
        <sz val="10"/>
        <rFont val="Arial"/>
        <family val="2"/>
      </rPr>
      <t>)</t>
    </r>
  </si>
  <si>
    <r>
      <t>Netovõlakoormus (</t>
    </r>
    <r>
      <rPr>
        <b/>
        <u/>
        <sz val="10"/>
        <rFont val="Arial"/>
        <family val="2"/>
      </rPr>
      <t>%</t>
    </r>
    <r>
      <rPr>
        <b/>
        <sz val="10"/>
        <rFont val="Arial"/>
        <family val="2"/>
      </rPr>
      <t>)</t>
    </r>
  </si>
  <si>
    <r>
      <t>Netovõlakoormuse ülemmäär (</t>
    </r>
    <r>
      <rPr>
        <b/>
        <u/>
        <sz val="10"/>
        <rFont val="Arial"/>
        <family val="2"/>
      </rPr>
      <t>eurodes</t>
    </r>
    <r>
      <rPr>
        <b/>
        <sz val="10"/>
        <rFont val="Arial"/>
        <family val="2"/>
      </rPr>
      <t>)</t>
    </r>
  </si>
  <si>
    <r>
      <t>Netovõlakoormuse individuaalne ülemmäär (</t>
    </r>
    <r>
      <rPr>
        <b/>
        <u/>
        <sz val="10"/>
        <rFont val="Arial"/>
        <family val="2"/>
      </rPr>
      <t>%</t>
    </r>
    <r>
      <rPr>
        <b/>
        <sz val="10"/>
        <rFont val="Arial"/>
        <family val="2"/>
      </rPr>
      <t>)</t>
    </r>
  </si>
  <si>
    <t>Vaba netovõlakoormus (eurodes)</t>
  </si>
  <si>
    <t>E/a kontroll (tasakaal)</t>
  </si>
  <si>
    <t>Põhitegevuse tulude muutus</t>
  </si>
  <si>
    <t>-</t>
  </si>
  <si>
    <t>Põhitegevuse kulude muutus</t>
  </si>
  <si>
    <t>Omafinantseerimise võimekuse näitaja</t>
  </si>
  <si>
    <t>Investeeringuobjektid* (alati "+" märgiga)</t>
  </si>
  <si>
    <t>01 Üldised valitsussektori teenused</t>
  </si>
  <si>
    <t>sh toetuse arvelt</t>
  </si>
  <si>
    <t>sh muude vahendite arvelt (omaosalus)</t>
  </si>
  <si>
    <t xml:space="preserve">02 Riigikaitse  </t>
  </si>
  <si>
    <t>03 Avalik kord ja julgeolek</t>
  </si>
  <si>
    <t>04 Majandus</t>
  </si>
  <si>
    <t>05 Keskkonnakaitse</t>
  </si>
  <si>
    <t>06 Elamu- ja kommunaalmajandus</t>
  </si>
  <si>
    <t>07 Tervishoid</t>
  </si>
  <si>
    <t>08 Vabaaeg, kultuur ja religioon</t>
  </si>
  <si>
    <t>09 Haridus</t>
  </si>
  <si>
    <t>10 Sotsiaalne kaitse</t>
  </si>
  <si>
    <t>KÕIK KOKKU</t>
  </si>
  <si>
    <t>Põhivara soetuse kontroll</t>
  </si>
  <si>
    <t>Suuremad investeeringud nimeliselt</t>
  </si>
  <si>
    <t>03 Päästeteenused Generaatorid</t>
  </si>
  <si>
    <t>04 Teehoiukava elluviimine</t>
  </si>
  <si>
    <t>04 Läpi-Ojaküla tee</t>
  </si>
  <si>
    <t>04 Uudeküla-Porkuni kergliiklustee eelprojekt</t>
  </si>
  <si>
    <t>04 Jäneda kergtee eelprojekt</t>
  </si>
  <si>
    <t>04 Kaasav eelarve</t>
  </si>
  <si>
    <t>04 Tapa keskväljaku rekonstrueerimine</t>
  </si>
  <si>
    <t>04 Tapa linna vabadussamba rajamine</t>
  </si>
  <si>
    <t>04 Porkuni piirkonna arendamine</t>
  </si>
  <si>
    <t>04 Energiasäästumeetmete rakendamine munitsipaalhenetes</t>
  </si>
  <si>
    <t>04 Maa sortus Paide mnt 51</t>
  </si>
  <si>
    <t>06 Tänavavalgustuse rekonstrueerimine Tapa, Tamsalu</t>
  </si>
  <si>
    <t>06 Jäneda lossi ruumide rekonstrueerimine</t>
  </si>
  <si>
    <t xml:space="preserve">06 Tapa Vallahooldus </t>
  </si>
  <si>
    <t>06 Tapa valla elamukruntide arendamine</t>
  </si>
  <si>
    <t>sh toetuse arvelt konto 3502</t>
  </si>
  <si>
    <t>sh muude vahendite arvelt (omaosalus) konto 4502</t>
  </si>
  <si>
    <t>06 Hajaasustuse programm</t>
  </si>
  <si>
    <t>06 Jäneda lossi ruumide rek toetus MTÜ-le</t>
  </si>
  <si>
    <t>07 Rakvere Haiglale investeerimistoetus</t>
  </si>
  <si>
    <t>08 Vajangu spordiväljak</t>
  </si>
  <si>
    <t>08 Tamsalu Kultuurimaja katus</t>
  </si>
  <si>
    <t>09 Pisipõnn  lasteaed</t>
  </si>
  <si>
    <t>09 Tapa Keelekümbluskooli ja Tamsalu Gümnaasiumi köökide kapitaalremont ja seadmed ning transpordivahend</t>
  </si>
  <si>
    <t>09 Tamsalu Gümnaasiumi WC ja tööõpetuse klass</t>
  </si>
  <si>
    <t>OBJEKTIDEKS JAOTAMATA VAHENDID</t>
  </si>
  <si>
    <t>2020 täitmine</t>
  </si>
  <si>
    <t>2021 eeldatav täitmine</t>
  </si>
  <si>
    <t xml:space="preserve">2022 eelarve  </t>
  </si>
  <si>
    <r>
      <t xml:space="preserve">   sh alates </t>
    </r>
    <r>
      <rPr>
        <b/>
        <i/>
        <sz val="8"/>
        <rFont val="Arial"/>
        <family val="2"/>
      </rPr>
      <t>2012</t>
    </r>
    <r>
      <rPr>
        <i/>
        <sz val="8"/>
        <rFont val="Arial"/>
        <family val="2"/>
      </rPr>
      <t xml:space="preserve"> sõlmitud katkestamatud kasutusrendimaksed </t>
    </r>
  </si>
  <si>
    <t>Põhitegevustulem</t>
  </si>
  <si>
    <t>Nõuete ja kohustuste saldode muutus (+/-)</t>
  </si>
  <si>
    <t>Võlakohustused kokku aasta lõpu seisuga</t>
  </si>
  <si>
    <t xml:space="preserve">    sh kohustused, mille võrra võib ületada netovõlakoormuse piirmäära (arvestusüksuse väline)</t>
  </si>
  <si>
    <t>Netovõlakoormus (eurodes)</t>
  </si>
  <si>
    <t>Netovõlakoormus (%)</t>
  </si>
  <si>
    <t>Netovõlakoormuse ülemmäär (eurodes)</t>
  </si>
  <si>
    <t>Netovõlakoormuse ülemmäär (%)</t>
  </si>
  <si>
    <t>Tapa vald</t>
  </si>
  <si>
    <t>05 Tamsalu Jäätmejaam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</si>
</sst>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2"/>
      <color theme="1"/>
      <name val="Calibri"/>
      <family val="2"/>
      <charset val="238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186"/>
    </font>
    <font>
      <i/>
      <sz val="8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b/>
      <u/>
      <sz val="10"/>
      <name val="Arial"/>
      <family val="2"/>
    </font>
    <font>
      <sz val="9"/>
      <name val="Arial"/>
      <family val="2"/>
      <charset val="186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sz val="12"/>
      <color theme="1"/>
      <name val="Arial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62">
    <xf numFmtId="0" fontId="0" fillId="0" borderId="0"/>
    <xf numFmtId="0" fontId="7" fillId="0" borderId="0"/>
    <xf numFmtId="0" fontId="7" fillId="0" borderId="0"/>
    <xf numFmtId="0" fontId="3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6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2" xfId="0" applyNumberFormat="1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3" fontId="3" fillId="4" borderId="7" xfId="0" applyNumberFormat="1" applyFont="1" applyFill="1" applyBorder="1" applyAlignment="1">
      <alignment wrapText="1"/>
    </xf>
    <xf numFmtId="3" fontId="3" fillId="4" borderId="8" xfId="0" applyNumberFormat="1" applyFont="1" applyFill="1" applyBorder="1" applyAlignment="1">
      <alignment wrapText="1"/>
    </xf>
    <xf numFmtId="3" fontId="3" fillId="4" borderId="9" xfId="0" applyNumberFormat="1" applyFont="1" applyFill="1" applyBorder="1" applyAlignment="1">
      <alignment wrapText="1"/>
    </xf>
    <xf numFmtId="3" fontId="3" fillId="4" borderId="7" xfId="0" applyNumberFormat="1" applyFont="1" applyFill="1" applyBorder="1" applyAlignment="1"/>
    <xf numFmtId="3" fontId="3" fillId="4" borderId="8" xfId="0" applyNumberFormat="1" applyFont="1" applyFill="1" applyBorder="1" applyAlignment="1"/>
    <xf numFmtId="0" fontId="4" fillId="4" borderId="6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 wrapText="1"/>
    </xf>
    <xf numFmtId="49" fontId="4" fillId="4" borderId="11" xfId="0" applyNumberFormat="1" applyFont="1" applyFill="1" applyBorder="1" applyAlignment="1">
      <alignment horizontal="left" wrapText="1"/>
    </xf>
    <xf numFmtId="0" fontId="6" fillId="4" borderId="11" xfId="0" applyFont="1" applyFill="1" applyBorder="1" applyAlignment="1">
      <alignment horizontal="left" wrapText="1"/>
    </xf>
    <xf numFmtId="0" fontId="2" fillId="4" borderId="11" xfId="0" applyFont="1" applyFill="1" applyBorder="1" applyAlignment="1">
      <alignment horizontal="left" wrapText="1"/>
    </xf>
    <xf numFmtId="0" fontId="2" fillId="4" borderId="11" xfId="1" applyFont="1" applyFill="1" applyBorder="1" applyAlignment="1"/>
    <xf numFmtId="0" fontId="2" fillId="4" borderId="10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left" wrapText="1"/>
    </xf>
    <xf numFmtId="0" fontId="2" fillId="4" borderId="11" xfId="0" applyFont="1" applyFill="1" applyBorder="1" applyAlignment="1"/>
    <xf numFmtId="0" fontId="1" fillId="4" borderId="11" xfId="0" applyFont="1" applyFill="1" applyBorder="1" applyAlignment="1">
      <alignment wrapText="1"/>
    </xf>
    <xf numFmtId="0" fontId="2" fillId="4" borderId="11" xfId="0" applyFont="1" applyFill="1" applyBorder="1" applyAlignment="1">
      <alignment wrapText="1"/>
    </xf>
    <xf numFmtId="0" fontId="2" fillId="4" borderId="10" xfId="0" applyFont="1" applyFill="1" applyBorder="1" applyAlignment="1"/>
    <xf numFmtId="3" fontId="3" fillId="4" borderId="9" xfId="0" applyNumberFormat="1" applyFont="1" applyFill="1" applyBorder="1" applyAlignment="1"/>
    <xf numFmtId="3" fontId="1" fillId="5" borderId="7" xfId="0" applyNumberFormat="1" applyFont="1" applyFill="1" applyBorder="1" applyAlignment="1"/>
    <xf numFmtId="0" fontId="2" fillId="4" borderId="18" xfId="0" applyFont="1" applyFill="1" applyBorder="1" applyAlignment="1">
      <alignment wrapText="1"/>
    </xf>
    <xf numFmtId="3" fontId="3" fillId="4" borderId="19" xfId="0" applyNumberFormat="1" applyFont="1" applyFill="1" applyBorder="1" applyAlignment="1">
      <alignment horizontal="right"/>
    </xf>
    <xf numFmtId="3" fontId="3" fillId="4" borderId="20" xfId="0" applyNumberFormat="1" applyFont="1" applyFill="1" applyBorder="1" applyAlignment="1"/>
    <xf numFmtId="0" fontId="3" fillId="4" borderId="10" xfId="0" applyFont="1" applyFill="1" applyBorder="1" applyAlignment="1">
      <alignment wrapText="1"/>
    </xf>
    <xf numFmtId="10" fontId="3" fillId="4" borderId="9" xfId="0" applyNumberFormat="1" applyFont="1" applyFill="1" applyBorder="1" applyAlignment="1">
      <alignment wrapText="1"/>
    </xf>
    <xf numFmtId="0" fontId="0" fillId="4" borderId="7" xfId="0" applyFill="1" applyBorder="1" applyAlignment="1"/>
    <xf numFmtId="0" fontId="0" fillId="4" borderId="8" xfId="0" applyFill="1" applyBorder="1" applyAlignment="1"/>
    <xf numFmtId="0" fontId="10" fillId="4" borderId="21" xfId="0" applyFont="1" applyFill="1" applyBorder="1" applyAlignment="1">
      <alignment wrapText="1"/>
    </xf>
    <xf numFmtId="3" fontId="10" fillId="4" borderId="22" xfId="0" applyNumberFormat="1" applyFont="1" applyFill="1" applyBorder="1" applyAlignment="1">
      <alignment wrapText="1"/>
    </xf>
    <xf numFmtId="3" fontId="10" fillId="4" borderId="23" xfId="0" applyNumberFormat="1" applyFont="1" applyFill="1" applyBorder="1" applyAlignment="1">
      <alignment wrapText="1"/>
    </xf>
    <xf numFmtId="0" fontId="3" fillId="4" borderId="7" xfId="0" applyFont="1" applyFill="1" applyBorder="1" applyAlignment="1">
      <alignment wrapText="1"/>
    </xf>
    <xf numFmtId="3" fontId="2" fillId="4" borderId="7" xfId="0" applyNumberFormat="1" applyFont="1" applyFill="1" applyBorder="1" applyAlignment="1">
      <alignment horizontal="center" wrapText="1"/>
    </xf>
    <xf numFmtId="9" fontId="2" fillId="4" borderId="7" xfId="0" applyNumberFormat="1" applyFont="1" applyFill="1" applyBorder="1" applyAlignment="1">
      <alignment wrapText="1"/>
    </xf>
    <xf numFmtId="4" fontId="2" fillId="4" borderId="7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left" wrapText="1"/>
    </xf>
    <xf numFmtId="0" fontId="1" fillId="0" borderId="11" xfId="2" applyFont="1" applyFill="1" applyBorder="1"/>
    <xf numFmtId="3" fontId="1" fillId="6" borderId="7" xfId="0" applyNumberFormat="1" applyFont="1" applyFill="1" applyBorder="1" applyAlignment="1"/>
    <xf numFmtId="3" fontId="1" fillId="6" borderId="8" xfId="0" applyNumberFormat="1" applyFont="1" applyFill="1" applyBorder="1" applyAlignment="1"/>
    <xf numFmtId="0" fontId="4" fillId="0" borderId="11" xfId="0" applyFont="1" applyFill="1" applyBorder="1" applyAlignment="1">
      <alignment wrapText="1"/>
    </xf>
    <xf numFmtId="3" fontId="3" fillId="7" borderId="7" xfId="0" applyNumberFormat="1" applyFont="1" applyFill="1" applyBorder="1" applyAlignment="1"/>
    <xf numFmtId="3" fontId="3" fillId="0" borderId="7" xfId="0" applyNumberFormat="1" applyFont="1" applyBorder="1" applyAlignment="1"/>
    <xf numFmtId="3" fontId="3" fillId="0" borderId="7" xfId="0" applyNumberFormat="1" applyFont="1" applyFill="1" applyBorder="1" applyAlignment="1"/>
    <xf numFmtId="3" fontId="3" fillId="0" borderId="8" xfId="0" applyNumberFormat="1" applyFont="1" applyFill="1" applyBorder="1" applyAlignment="1"/>
    <xf numFmtId="0" fontId="1" fillId="8" borderId="11" xfId="0" applyFont="1" applyFill="1" applyBorder="1" applyAlignment="1">
      <alignment horizontal="left" wrapText="1"/>
    </xf>
    <xf numFmtId="3" fontId="3" fillId="8" borderId="7" xfId="0" applyNumberFormat="1" applyFont="1" applyFill="1" applyBorder="1" applyAlignment="1"/>
    <xf numFmtId="3" fontId="1" fillId="8" borderId="7" xfId="0" applyNumberFormat="1" applyFont="1" applyFill="1" applyBorder="1" applyAlignment="1"/>
    <xf numFmtId="3" fontId="1" fillId="8" borderId="8" xfId="0" applyNumberFormat="1" applyFont="1" applyFill="1" applyBorder="1" applyAlignment="1"/>
    <xf numFmtId="0" fontId="4" fillId="8" borderId="11" xfId="0" applyFont="1" applyFill="1" applyBorder="1" applyAlignment="1">
      <alignment wrapText="1"/>
    </xf>
    <xf numFmtId="0" fontId="1" fillId="9" borderId="11" xfId="0" applyFont="1" applyFill="1" applyBorder="1" applyAlignment="1">
      <alignment wrapText="1"/>
    </xf>
    <xf numFmtId="3" fontId="1" fillId="9" borderId="7" xfId="0" applyNumberFormat="1" applyFont="1" applyFill="1" applyBorder="1" applyAlignment="1"/>
    <xf numFmtId="3" fontId="1" fillId="9" borderId="8" xfId="0" applyNumberFormat="1" applyFont="1" applyFill="1" applyBorder="1" applyAlignment="1"/>
    <xf numFmtId="3" fontId="3" fillId="7" borderId="8" xfId="0" applyNumberFormat="1" applyFont="1" applyFill="1" applyBorder="1" applyAlignment="1"/>
    <xf numFmtId="0" fontId="4" fillId="0" borderId="21" xfId="0" applyFont="1" applyFill="1" applyBorder="1" applyAlignment="1">
      <alignment wrapText="1"/>
    </xf>
    <xf numFmtId="3" fontId="3" fillId="7" borderId="22" xfId="0" applyNumberFormat="1" applyFont="1" applyFill="1" applyBorder="1" applyAlignment="1"/>
    <xf numFmtId="3" fontId="3" fillId="7" borderId="23" xfId="0" applyNumberFormat="1" applyFont="1" applyFill="1" applyBorder="1" applyAlignment="1"/>
    <xf numFmtId="0" fontId="11" fillId="0" borderId="24" xfId="0" applyFont="1" applyFill="1" applyBorder="1" applyAlignment="1"/>
    <xf numFmtId="3" fontId="12" fillId="0" borderId="0" xfId="0" applyNumberFormat="1" applyFont="1" applyAlignment="1"/>
    <xf numFmtId="0" fontId="0" fillId="0" borderId="0" xfId="0" applyAlignment="1"/>
    <xf numFmtId="0" fontId="1" fillId="0" borderId="0" xfId="0" applyFont="1" applyAlignment="1"/>
    <xf numFmtId="0" fontId="3" fillId="0" borderId="0" xfId="0" applyFont="1" applyFill="1" applyAlignment="1"/>
    <xf numFmtId="0" fontId="1" fillId="0" borderId="7" xfId="0" applyFont="1" applyBorder="1" applyAlignment="1"/>
    <xf numFmtId="0" fontId="3" fillId="7" borderId="7" xfId="0" applyFont="1" applyFill="1" applyBorder="1" applyAlignment="1"/>
    <xf numFmtId="3" fontId="3" fillId="0" borderId="7" xfId="0" applyNumberFormat="1" applyFont="1" applyBorder="1"/>
    <xf numFmtId="0" fontId="3" fillId="0" borderId="7" xfId="0" applyFont="1" applyFill="1" applyBorder="1" applyAlignment="1"/>
    <xf numFmtId="0" fontId="1" fillId="0" borderId="11" xfId="3" applyFont="1" applyBorder="1" applyAlignment="1">
      <alignment wrapText="1"/>
    </xf>
    <xf numFmtId="0" fontId="1" fillId="0" borderId="11" xfId="3" applyFont="1" applyFill="1" applyBorder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3" fontId="1" fillId="7" borderId="7" xfId="0" applyNumberFormat="1" applyFont="1" applyFill="1" applyBorder="1" applyAlignment="1"/>
    <xf numFmtId="3" fontId="1" fillId="7" borderId="8" xfId="0" applyNumberFormat="1" applyFont="1" applyFill="1" applyBorder="1" applyAlignment="1"/>
    <xf numFmtId="3" fontId="3" fillId="0" borderId="25" xfId="0" applyNumberFormat="1" applyFont="1" applyBorder="1"/>
    <xf numFmtId="0" fontId="1" fillId="10" borderId="11" xfId="3" applyFont="1" applyFill="1" applyBorder="1" applyAlignment="1">
      <alignment wrapText="1"/>
    </xf>
    <xf numFmtId="0" fontId="1" fillId="8" borderId="11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3" fontId="1" fillId="0" borderId="7" xfId="0" applyNumberFormat="1" applyFont="1" applyBorder="1" applyAlignment="1"/>
    <xf numFmtId="0" fontId="0" fillId="0" borderId="0" xfId="0" applyFill="1"/>
    <xf numFmtId="0" fontId="2" fillId="0" borderId="11" xfId="0" applyFont="1" applyFill="1" applyBorder="1" applyAlignment="1">
      <alignment horizontal="left" wrapText="1"/>
    </xf>
    <xf numFmtId="0" fontId="1" fillId="12" borderId="10" xfId="0" applyFont="1" applyFill="1" applyBorder="1" applyAlignment="1">
      <alignment horizontal="left"/>
    </xf>
    <xf numFmtId="3" fontId="1" fillId="12" borderId="9" xfId="0" applyNumberFormat="1" applyFont="1" applyFill="1" applyBorder="1" applyAlignment="1">
      <alignment wrapText="1"/>
    </xf>
    <xf numFmtId="3" fontId="1" fillId="12" borderId="7" xfId="0" applyNumberFormat="1" applyFont="1" applyFill="1" applyBorder="1" applyAlignment="1">
      <alignment wrapText="1"/>
    </xf>
    <xf numFmtId="3" fontId="1" fillId="12" borderId="8" xfId="0" applyNumberFormat="1" applyFont="1" applyFill="1" applyBorder="1" applyAlignment="1">
      <alignment wrapText="1"/>
    </xf>
    <xf numFmtId="0" fontId="1" fillId="0" borderId="11" xfId="0" applyFont="1" applyFill="1" applyBorder="1" applyAlignment="1"/>
    <xf numFmtId="3" fontId="1" fillId="0" borderId="8" xfId="0" applyNumberFormat="1" applyFont="1" applyFill="1" applyBorder="1" applyAlignment="1"/>
    <xf numFmtId="3" fontId="1" fillId="11" borderId="9" xfId="0" applyNumberFormat="1" applyFont="1" applyFill="1" applyBorder="1" applyAlignment="1">
      <alignment wrapText="1"/>
    </xf>
    <xf numFmtId="3" fontId="3" fillId="11" borderId="9" xfId="0" applyNumberFormat="1" applyFont="1" applyFill="1" applyBorder="1" applyAlignment="1">
      <alignment wrapText="1"/>
    </xf>
    <xf numFmtId="3" fontId="1" fillId="13" borderId="7" xfId="0" applyNumberFormat="1" applyFont="1" applyFill="1" applyBorder="1" applyAlignment="1"/>
    <xf numFmtId="3" fontId="3" fillId="13" borderId="7" xfId="0" applyNumberFormat="1" applyFont="1" applyFill="1" applyBorder="1"/>
    <xf numFmtId="3" fontId="3" fillId="5" borderId="7" xfId="0" applyNumberFormat="1" applyFont="1" applyFill="1" applyBorder="1"/>
    <xf numFmtId="3" fontId="1" fillId="14" borderId="7" xfId="0" applyNumberFormat="1" applyFont="1" applyFill="1" applyBorder="1" applyAlignment="1"/>
    <xf numFmtId="3" fontId="3" fillId="14" borderId="7" xfId="0" applyNumberFormat="1" applyFont="1" applyFill="1" applyBorder="1"/>
    <xf numFmtId="3" fontId="1" fillId="15" borderId="7" xfId="0" applyNumberFormat="1" applyFont="1" applyFill="1" applyBorder="1" applyAlignment="1"/>
    <xf numFmtId="3" fontId="3" fillId="15" borderId="8" xfId="0" applyNumberFormat="1" applyFont="1" applyFill="1" applyBorder="1"/>
    <xf numFmtId="3" fontId="1" fillId="7" borderId="4" xfId="0" applyNumberFormat="1" applyFont="1" applyFill="1" applyBorder="1" applyAlignment="1">
      <alignment horizontal="right" wrapText="1"/>
    </xf>
    <xf numFmtId="3" fontId="1" fillId="7" borderId="5" xfId="0" applyNumberFormat="1" applyFont="1" applyFill="1" applyBorder="1" applyAlignment="1">
      <alignment horizontal="right" wrapText="1"/>
    </xf>
    <xf numFmtId="3" fontId="3" fillId="7" borderId="7" xfId="0" applyNumberFormat="1" applyFont="1" applyFill="1" applyBorder="1" applyAlignment="1">
      <alignment wrapText="1"/>
    </xf>
    <xf numFmtId="3" fontId="3" fillId="7" borderId="8" xfId="0" applyNumberFormat="1" applyFont="1" applyFill="1" applyBorder="1" applyAlignment="1">
      <alignment wrapText="1"/>
    </xf>
    <xf numFmtId="3" fontId="3" fillId="7" borderId="9" xfId="0" applyNumberFormat="1" applyFont="1" applyFill="1" applyBorder="1" applyAlignment="1">
      <alignment wrapText="1"/>
    </xf>
    <xf numFmtId="3" fontId="1" fillId="7" borderId="9" xfId="0" applyNumberFormat="1" applyFont="1" applyFill="1" applyBorder="1" applyAlignment="1">
      <alignment wrapText="1"/>
    </xf>
    <xf numFmtId="3" fontId="1" fillId="7" borderId="7" xfId="0" applyNumberFormat="1" applyFont="1" applyFill="1" applyBorder="1" applyAlignment="1">
      <alignment wrapText="1"/>
    </xf>
    <xf numFmtId="3" fontId="1" fillId="7" borderId="8" xfId="0" applyNumberFormat="1" applyFont="1" applyFill="1" applyBorder="1" applyAlignment="1">
      <alignment wrapText="1"/>
    </xf>
    <xf numFmtId="164" fontId="9" fillId="7" borderId="9" xfId="0" applyNumberFormat="1" applyFont="1" applyFill="1" applyBorder="1" applyAlignment="1">
      <alignment wrapText="1"/>
    </xf>
    <xf numFmtId="164" fontId="9" fillId="7" borderId="7" xfId="0" applyNumberFormat="1" applyFont="1" applyFill="1" applyBorder="1" applyAlignment="1">
      <alignment wrapText="1"/>
    </xf>
    <xf numFmtId="164" fontId="9" fillId="7" borderId="8" xfId="0" applyNumberFormat="1" applyFont="1" applyFill="1" applyBorder="1" applyAlignment="1">
      <alignment wrapText="1"/>
    </xf>
    <xf numFmtId="0" fontId="2" fillId="0" borderId="11" xfId="0" applyFont="1" applyFill="1" applyBorder="1" applyAlignment="1"/>
    <xf numFmtId="3" fontId="3" fillId="7" borderId="17" xfId="0" applyNumberFormat="1" applyFont="1" applyFill="1" applyBorder="1" applyAlignment="1">
      <alignment horizontal="right"/>
    </xf>
    <xf numFmtId="3" fontId="3" fillId="16" borderId="9" xfId="0" applyNumberFormat="1" applyFont="1" applyFill="1" applyBorder="1" applyAlignment="1">
      <alignment wrapText="1"/>
    </xf>
    <xf numFmtId="0" fontId="1" fillId="0" borderId="6" xfId="0" applyFont="1" applyFill="1" applyBorder="1" applyAlignment="1">
      <alignment horizontal="left"/>
    </xf>
    <xf numFmtId="3" fontId="3" fillId="16" borderId="7" xfId="0" applyNumberFormat="1" applyFont="1" applyFill="1" applyBorder="1" applyAlignment="1"/>
    <xf numFmtId="3" fontId="3" fillId="16" borderId="12" xfId="0" applyNumberFormat="1" applyFont="1" applyFill="1" applyBorder="1" applyAlignment="1">
      <alignment wrapText="1"/>
    </xf>
    <xf numFmtId="3" fontId="3" fillId="16" borderId="14" xfId="0" applyNumberFormat="1" applyFont="1" applyFill="1" applyBorder="1" applyAlignment="1">
      <alignment wrapText="1"/>
    </xf>
    <xf numFmtId="3" fontId="13" fillId="7" borderId="7" xfId="0" applyNumberFormat="1" applyFont="1" applyFill="1" applyBorder="1" applyAlignment="1"/>
    <xf numFmtId="0" fontId="13" fillId="7" borderId="7" xfId="0" applyFont="1" applyFill="1" applyBorder="1" applyAlignment="1"/>
    <xf numFmtId="3" fontId="13" fillId="8" borderId="7" xfId="0" applyNumberFormat="1" applyFont="1" applyFill="1" applyBorder="1" applyAlignment="1"/>
    <xf numFmtId="3" fontId="12" fillId="0" borderId="7" xfId="0" applyNumberFormat="1" applyFont="1" applyBorder="1" applyAlignment="1"/>
    <xf numFmtId="0" fontId="12" fillId="0" borderId="7" xfId="0" applyFont="1" applyBorder="1" applyAlignment="1"/>
    <xf numFmtId="3" fontId="12" fillId="0" borderId="9" xfId="0" applyNumberFormat="1" applyFont="1" applyBorder="1" applyAlignment="1"/>
    <xf numFmtId="3" fontId="12" fillId="0" borderId="7" xfId="0" applyNumberFormat="1" applyFont="1" applyFill="1" applyBorder="1" applyAlignment="1"/>
    <xf numFmtId="3" fontId="12" fillId="8" borderId="7" xfId="0" applyNumberFormat="1" applyFont="1" applyFill="1" applyBorder="1" applyAlignment="1"/>
    <xf numFmtId="3" fontId="12" fillId="8" borderId="9" xfId="0" applyNumberFormat="1" applyFont="1" applyFill="1" applyBorder="1" applyAlignment="1"/>
    <xf numFmtId="3" fontId="3" fillId="4" borderId="7" xfId="1" applyNumberFormat="1" applyFont="1" applyFill="1" applyBorder="1" applyAlignment="1"/>
    <xf numFmtId="3" fontId="12" fillId="4" borderId="15" xfId="0" applyNumberFormat="1" applyFont="1" applyFill="1" applyBorder="1" applyAlignment="1"/>
    <xf numFmtId="3" fontId="12" fillId="4" borderId="16" xfId="0" applyNumberFormat="1" applyFont="1" applyFill="1" applyBorder="1" applyAlignment="1"/>
    <xf numFmtId="3" fontId="12" fillId="4" borderId="7" xfId="0" applyNumberFormat="1" applyFont="1" applyFill="1" applyBorder="1" applyAlignment="1"/>
    <xf numFmtId="0" fontId="1" fillId="2" borderId="26" xfId="0" applyFont="1" applyFill="1" applyBorder="1" applyAlignment="1">
      <alignment wrapText="1"/>
    </xf>
    <xf numFmtId="0" fontId="1" fillId="2" borderId="27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horizontal="left" vertical="center"/>
    </xf>
    <xf numFmtId="3" fontId="1" fillId="17" borderId="7" xfId="0" applyNumberFormat="1" applyFont="1" applyFill="1" applyBorder="1" applyAlignment="1">
      <alignment horizontal="right" wrapText="1"/>
    </xf>
    <xf numFmtId="3" fontId="1" fillId="17" borderId="8" xfId="0" applyNumberFormat="1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left" vertical="center"/>
    </xf>
    <xf numFmtId="3" fontId="1" fillId="17" borderId="7" xfId="0" applyNumberFormat="1" applyFont="1" applyFill="1" applyBorder="1" applyAlignment="1">
      <alignment wrapText="1"/>
    </xf>
    <xf numFmtId="3" fontId="1" fillId="17" borderId="8" xfId="0" applyNumberFormat="1" applyFont="1" applyFill="1" applyBorder="1" applyAlignment="1">
      <alignment wrapText="1"/>
    </xf>
    <xf numFmtId="0" fontId="4" fillId="18" borderId="6" xfId="0" applyFont="1" applyFill="1" applyBorder="1" applyAlignment="1">
      <alignment horizontal="left" vertical="center"/>
    </xf>
    <xf numFmtId="3" fontId="1" fillId="18" borderId="7" xfId="0" applyNumberFormat="1" applyFont="1" applyFill="1" applyBorder="1" applyAlignment="1">
      <alignment wrapText="1"/>
    </xf>
    <xf numFmtId="3" fontId="1" fillId="18" borderId="8" xfId="0" applyNumberFormat="1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wrapText="1"/>
    </xf>
    <xf numFmtId="0" fontId="0" fillId="0" borderId="11" xfId="0" applyBorder="1"/>
    <xf numFmtId="0" fontId="0" fillId="17" borderId="7" xfId="0" applyFill="1" applyBorder="1"/>
    <xf numFmtId="0" fontId="3" fillId="17" borderId="8" xfId="0" applyFont="1" applyFill="1" applyBorder="1"/>
    <xf numFmtId="3" fontId="1" fillId="17" borderId="7" xfId="0" applyNumberFormat="1" applyFont="1" applyFill="1" applyBorder="1"/>
    <xf numFmtId="3" fontId="1" fillId="17" borderId="8" xfId="0" applyNumberFormat="1" applyFont="1" applyFill="1" applyBorder="1"/>
    <xf numFmtId="0" fontId="1" fillId="0" borderId="11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3" fontId="3" fillId="17" borderId="7" xfId="0" applyNumberFormat="1" applyFont="1" applyFill="1" applyBorder="1" applyAlignment="1">
      <alignment wrapText="1"/>
    </xf>
    <xf numFmtId="3" fontId="3" fillId="17" borderId="8" xfId="0" applyNumberFormat="1" applyFont="1" applyFill="1" applyBorder="1" applyAlignment="1">
      <alignment wrapText="1"/>
    </xf>
    <xf numFmtId="3" fontId="3" fillId="17" borderId="9" xfId="0" applyNumberFormat="1" applyFont="1" applyFill="1" applyBorder="1" applyAlignment="1">
      <alignment wrapText="1"/>
    </xf>
    <xf numFmtId="164" fontId="3" fillId="17" borderId="7" xfId="0" applyNumberFormat="1" applyFont="1" applyFill="1" applyBorder="1" applyAlignment="1">
      <alignment wrapText="1"/>
    </xf>
    <xf numFmtId="164" fontId="3" fillId="17" borderId="8" xfId="0" applyNumberFormat="1" applyFont="1" applyFill="1" applyBorder="1" applyAlignment="1">
      <alignment wrapText="1"/>
    </xf>
    <xf numFmtId="0" fontId="1" fillId="0" borderId="21" xfId="0" applyFont="1" applyFill="1" applyBorder="1" applyAlignment="1">
      <alignment wrapText="1"/>
    </xf>
    <xf numFmtId="3" fontId="3" fillId="17" borderId="22" xfId="0" applyNumberFormat="1" applyFont="1" applyFill="1" applyBorder="1" applyAlignment="1">
      <alignment wrapText="1"/>
    </xf>
    <xf numFmtId="3" fontId="3" fillId="17" borderId="23" xfId="0" applyNumberFormat="1" applyFont="1" applyFill="1" applyBorder="1" applyAlignment="1">
      <alignment wrapText="1"/>
    </xf>
    <xf numFmtId="3" fontId="1" fillId="0" borderId="28" xfId="0" applyNumberFormat="1" applyFont="1" applyBorder="1" applyAlignment="1"/>
    <xf numFmtId="3" fontId="12" fillId="0" borderId="28" xfId="0" applyNumberFormat="1" applyFont="1" applyFill="1" applyBorder="1" applyAlignment="1"/>
    <xf numFmtId="3" fontId="3" fillId="5" borderId="7" xfId="0" applyNumberFormat="1" applyFont="1" applyFill="1" applyBorder="1" applyAlignment="1"/>
    <xf numFmtId="3" fontId="12" fillId="5" borderId="7" xfId="0" applyNumberFormat="1" applyFont="1" applyFill="1" applyBorder="1" applyAlignment="1"/>
    <xf numFmtId="3" fontId="12" fillId="5" borderId="9" xfId="0" applyNumberFormat="1" applyFont="1" applyFill="1" applyBorder="1" applyAlignment="1"/>
    <xf numFmtId="3" fontId="1" fillId="5" borderId="8" xfId="0" applyNumberFormat="1" applyFont="1" applyFill="1" applyBorder="1" applyAlignment="1"/>
  </cellXfs>
  <cellStyles count="62"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Normal" xfId="0" builtinId="0"/>
    <cellStyle name="Normal 18" xfId="3"/>
    <cellStyle name="Normal_Sheet1" xfId="1"/>
    <cellStyle name="Normal_Sheet1 2" xfId="2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lopeets/Documents/Arengukava/Tapa%20AK%20EAS%202022/Tapa%20ES%202023%20-%202026/Helen/Koopia%20failist%20EA%20strateegia%20vorm%2020230922hELEN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lopeets/Documents/Arengukava/Tapa%20AK%20EAS%202022/Tapa%20ES%202023%20-%202026/Ylo/EA%20strateegia%20vorm%2020230922%20ylo%2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elarvearuanne"/>
      <sheetName val="Vabad investeeringu summad"/>
      <sheetName val="ES Helen"/>
      <sheetName val="ES ÜLO"/>
      <sheetName val="PT ja laen"/>
      <sheetName val="Strateegia vorm valdkonniti"/>
      <sheetName val="Strateegia vorm sõltuv üksus"/>
      <sheetName val="Strateegia vorm arvestusüksus"/>
    </sheetNames>
    <sheetDataSet>
      <sheetData sheetId="0">
        <row r="7">
          <cell r="D7">
            <v>8996000</v>
          </cell>
          <cell r="H7">
            <v>8575575.9700000007</v>
          </cell>
        </row>
        <row r="8">
          <cell r="D8">
            <v>8700000</v>
          </cell>
          <cell r="H8">
            <v>8287901.6699999999</v>
          </cell>
        </row>
        <row r="9">
          <cell r="D9">
            <v>295000</v>
          </cell>
          <cell r="H9">
            <v>287438.8</v>
          </cell>
        </row>
        <row r="14">
          <cell r="D14">
            <v>1061169</v>
          </cell>
          <cell r="H14">
            <v>945583.19</v>
          </cell>
        </row>
        <row r="16">
          <cell r="D16">
            <v>1933180</v>
          </cell>
          <cell r="H16">
            <v>1891528</v>
          </cell>
        </row>
        <row r="17">
          <cell r="D17">
            <v>4989408</v>
          </cell>
          <cell r="H17">
            <v>4909271</v>
          </cell>
        </row>
        <row r="18">
          <cell r="D18">
            <v>612090</v>
          </cell>
          <cell r="H18">
            <v>404863.86</v>
          </cell>
        </row>
        <row r="19">
          <cell r="D19">
            <v>74632</v>
          </cell>
          <cell r="H19">
            <v>126199.65000000001</v>
          </cell>
        </row>
        <row r="25">
          <cell r="D25">
            <v>-904361</v>
          </cell>
          <cell r="H25">
            <v>-745169.52</v>
          </cell>
        </row>
        <row r="31">
          <cell r="D31">
            <v>-10894056</v>
          </cell>
          <cell r="H31">
            <v>-9768779.1099999994</v>
          </cell>
        </row>
        <row r="32">
          <cell r="D32">
            <v>-5360356</v>
          </cell>
          <cell r="H32">
            <v>-5532369.3099999996</v>
          </cell>
        </row>
        <row r="33">
          <cell r="D33">
            <v>-75138</v>
          </cell>
          <cell r="H33">
            <v>-7752.35</v>
          </cell>
        </row>
        <row r="36">
          <cell r="D36">
            <v>50000</v>
          </cell>
          <cell r="H36">
            <v>122439.69</v>
          </cell>
        </row>
        <row r="37">
          <cell r="D37">
            <v>-2703094</v>
          </cell>
          <cell r="H37">
            <v>-4157648.63</v>
          </cell>
        </row>
        <row r="38">
          <cell r="D38">
            <v>844451</v>
          </cell>
          <cell r="H38">
            <v>1322006.8</v>
          </cell>
        </row>
        <row r="39">
          <cell r="D39">
            <v>-90734</v>
          </cell>
          <cell r="H39">
            <v>-58610.18</v>
          </cell>
        </row>
        <row r="40">
          <cell r="D40">
            <v>0</v>
          </cell>
          <cell r="H40">
            <v>0</v>
          </cell>
        </row>
        <row r="41">
          <cell r="D41">
            <v>0</v>
          </cell>
          <cell r="H41">
            <v>0</v>
          </cell>
        </row>
        <row r="42">
          <cell r="D42">
            <v>0</v>
          </cell>
          <cell r="H42">
            <v>0</v>
          </cell>
        </row>
        <row r="43">
          <cell r="D43">
            <v>0</v>
          </cell>
          <cell r="H43">
            <v>0</v>
          </cell>
        </row>
        <row r="44">
          <cell r="D44">
            <v>72900</v>
          </cell>
          <cell r="H44">
            <v>72900</v>
          </cell>
        </row>
        <row r="45">
          <cell r="D45">
            <v>0</v>
          </cell>
          <cell r="H45">
            <v>0</v>
          </cell>
        </row>
        <row r="46">
          <cell r="D46">
            <v>1500</v>
          </cell>
          <cell r="H46">
            <v>1483.01</v>
          </cell>
        </row>
        <row r="47">
          <cell r="D47">
            <v>-128000</v>
          </cell>
          <cell r="H47">
            <v>-88867.8</v>
          </cell>
        </row>
        <row r="50">
          <cell r="D50">
            <v>1934120</v>
          </cell>
          <cell r="H50">
            <v>3080000</v>
          </cell>
        </row>
        <row r="51">
          <cell r="D51">
            <v>-1479620</v>
          </cell>
          <cell r="H51">
            <v>-1248625.67</v>
          </cell>
        </row>
        <row r="52">
          <cell r="D52">
            <v>-1065909</v>
          </cell>
          <cell r="H52">
            <v>529920.98</v>
          </cell>
        </row>
        <row r="53">
          <cell r="D53">
            <v>0</v>
          </cell>
          <cell r="H53">
            <v>685892.38</v>
          </cell>
        </row>
        <row r="156">
          <cell r="H156">
            <v>10455959.220000001</v>
          </cell>
        </row>
        <row r="157">
          <cell r="D157">
            <v>0</v>
          </cell>
          <cell r="H157">
            <v>0</v>
          </cell>
        </row>
        <row r="158">
          <cell r="H158">
            <v>1630110.99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elarvearuanne"/>
      <sheetName val="Strateegia vorm KOV"/>
      <sheetName val="Strateegia vorm valdkonniti"/>
      <sheetName val="Strateegia vorm sõltuv üksus"/>
      <sheetName val="Strateegia vorm arvestusüksus"/>
    </sheetNames>
    <sheetDataSet>
      <sheetData sheetId="0" refreshError="1"/>
      <sheetData sheetId="1">
        <row r="2">
          <cell r="B2">
            <v>16853021.669999998</v>
          </cell>
          <cell r="C2">
            <v>17666479</v>
          </cell>
          <cell r="D2">
            <v>18164408</v>
          </cell>
          <cell r="E2">
            <v>18614408</v>
          </cell>
          <cell r="F2">
            <v>19114408</v>
          </cell>
          <cell r="G2">
            <v>19604408</v>
          </cell>
        </row>
        <row r="13">
          <cell r="B13">
            <v>16054070.289999997</v>
          </cell>
          <cell r="C13">
            <v>17233911</v>
          </cell>
          <cell r="D13">
            <v>17206822.039999999</v>
          </cell>
          <cell r="E13">
            <v>17358072.039999999</v>
          </cell>
          <cell r="F13">
            <v>17740572.039999999</v>
          </cell>
          <cell r="G13">
            <v>17908022.039999999</v>
          </cell>
        </row>
        <row r="21">
          <cell r="B21">
            <v>-2786297.11</v>
          </cell>
          <cell r="C21">
            <v>-1952977</v>
          </cell>
          <cell r="D21">
            <v>-1236635</v>
          </cell>
          <cell r="E21">
            <v>-1650471</v>
          </cell>
          <cell r="F21">
            <v>-1525463</v>
          </cell>
          <cell r="G21">
            <v>-1946973</v>
          </cell>
        </row>
        <row r="29">
          <cell r="B29">
            <v>72900</v>
          </cell>
          <cell r="C29">
            <v>72900</v>
          </cell>
          <cell r="D29">
            <v>72900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4">
          <cell r="B34">
            <v>1831374.33</v>
          </cell>
          <cell r="C34">
            <v>454500</v>
          </cell>
          <cell r="D34">
            <v>-183040</v>
          </cell>
          <cell r="E34">
            <v>392704</v>
          </cell>
          <cell r="F34">
            <v>146108</v>
          </cell>
          <cell r="G34">
            <v>485048</v>
          </cell>
        </row>
        <row r="37">
          <cell r="B37">
            <v>529920.98</v>
          </cell>
          <cell r="C37">
            <v>-1065909</v>
          </cell>
          <cell r="D37">
            <v>-462089.03999999911</v>
          </cell>
          <cell r="E37">
            <v>-1431.0399999991059</v>
          </cell>
          <cell r="F37">
            <v>-5519.0399999991059</v>
          </cell>
          <cell r="G37">
            <v>234460.96000000089</v>
          </cell>
        </row>
        <row r="41">
          <cell r="B41">
            <v>1630110.99</v>
          </cell>
        </row>
        <row r="42">
          <cell r="B42">
            <v>10455959.220000001</v>
          </cell>
          <cell r="C42">
            <v>10910459.220000001</v>
          </cell>
          <cell r="D42">
            <v>10727419.220000001</v>
          </cell>
          <cell r="E42">
            <v>11120123.220000001</v>
          </cell>
          <cell r="F42">
            <v>11266231.220000001</v>
          </cell>
          <cell r="G42">
            <v>11751279.220000001</v>
          </cell>
        </row>
        <row r="44">
          <cell r="B44">
            <v>0</v>
          </cell>
          <cell r="C44">
            <v>0</v>
          </cell>
        </row>
      </sheetData>
      <sheetData sheetId="2" refreshError="1"/>
      <sheetData sheetId="3">
        <row r="242"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</row>
        <row r="243"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</row>
        <row r="244"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</row>
        <row r="245"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</row>
        <row r="246"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</row>
        <row r="247"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</row>
        <row r="249"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</row>
        <row r="251"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</row>
        <row r="252"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</row>
        <row r="255">
          <cell r="B255">
            <v>0</v>
          </cell>
        </row>
        <row r="256"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</row>
        <row r="257"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</row>
        <row r="258"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</row>
        <row r="259"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tabSelected="1" workbookViewId="0">
      <selection activeCell="J164" sqref="J164"/>
    </sheetView>
  </sheetViews>
  <sheetFormatPr baseColWidth="10" defaultRowHeight="15" x14ac:dyDescent="0"/>
  <cols>
    <col min="1" max="1" width="41.33203125" customWidth="1"/>
  </cols>
  <sheetData>
    <row r="1" spans="1:7" ht="38" thickBot="1">
      <c r="A1" s="1" t="s">
        <v>113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7">
      <c r="A2" s="3" t="s">
        <v>6</v>
      </c>
      <c r="B2" s="96">
        <f t="shared" ref="B2:G2" si="0">B3+B7+B8+B12</f>
        <v>16853021.669999998</v>
      </c>
      <c r="C2" s="96">
        <f t="shared" si="0"/>
        <v>17666479</v>
      </c>
      <c r="D2" s="96">
        <f t="shared" si="0"/>
        <v>18164408</v>
      </c>
      <c r="E2" s="96">
        <f t="shared" si="0"/>
        <v>18614408</v>
      </c>
      <c r="F2" s="96">
        <f t="shared" si="0"/>
        <v>19114408</v>
      </c>
      <c r="G2" s="97">
        <f t="shared" si="0"/>
        <v>19604408</v>
      </c>
    </row>
    <row r="3" spans="1:7">
      <c r="A3" s="4" t="s">
        <v>7</v>
      </c>
      <c r="B3" s="98">
        <f t="shared" ref="B3:G3" si="1">SUM(B4:B6)</f>
        <v>8575575.9700000007</v>
      </c>
      <c r="C3" s="98">
        <f t="shared" si="1"/>
        <v>8996000</v>
      </c>
      <c r="D3" s="98">
        <f t="shared" si="1"/>
        <v>9496000</v>
      </c>
      <c r="E3" s="98">
        <f t="shared" si="1"/>
        <v>9946000</v>
      </c>
      <c r="F3" s="98">
        <f t="shared" si="1"/>
        <v>10446000</v>
      </c>
      <c r="G3" s="99">
        <f t="shared" si="1"/>
        <v>10936000</v>
      </c>
    </row>
    <row r="4" spans="1:7">
      <c r="A4" s="4" t="s">
        <v>8</v>
      </c>
      <c r="B4" s="109">
        <f>[1]Eelarvearuanne!H8</f>
        <v>8287901.6699999999</v>
      </c>
      <c r="C4" s="109">
        <f>[1]Eelarvearuanne!D8</f>
        <v>8700000</v>
      </c>
      <c r="D4" s="8">
        <f>9150000+50000</f>
        <v>9200000</v>
      </c>
      <c r="E4" s="8">
        <f>9623000+27000</f>
        <v>9650000</v>
      </c>
      <c r="F4" s="8">
        <f>10120000+30000</f>
        <v>10150000</v>
      </c>
      <c r="G4" s="9">
        <v>10640000</v>
      </c>
    </row>
    <row r="5" spans="1:7">
      <c r="A5" s="4" t="s">
        <v>9</v>
      </c>
      <c r="B5" s="109">
        <f>[1]Eelarvearuanne!H9</f>
        <v>287438.8</v>
      </c>
      <c r="C5" s="109">
        <f>[1]Eelarvearuanne!D9</f>
        <v>295000</v>
      </c>
      <c r="D5" s="8">
        <v>295000</v>
      </c>
      <c r="E5" s="8">
        <v>295000</v>
      </c>
      <c r="F5" s="8">
        <v>295000</v>
      </c>
      <c r="G5" s="8">
        <v>295000</v>
      </c>
    </row>
    <row r="6" spans="1:7">
      <c r="A6" s="4" t="s">
        <v>10</v>
      </c>
      <c r="B6" s="109">
        <f>[1]Eelarvearuanne!H7-[1]Eelarvearuanne!H8-[1]Eelarvearuanne!H9</f>
        <v>235.5000000007567</v>
      </c>
      <c r="C6" s="109">
        <f>[1]Eelarvearuanne!D7-[1]Eelarvearuanne!D8-[1]Eelarvearuanne!D9</f>
        <v>1000</v>
      </c>
      <c r="D6" s="8">
        <v>1000</v>
      </c>
      <c r="E6" s="8">
        <v>1000</v>
      </c>
      <c r="F6" s="8">
        <v>1000</v>
      </c>
      <c r="G6" s="8">
        <v>1000</v>
      </c>
    </row>
    <row r="7" spans="1:7">
      <c r="A7" s="4" t="s">
        <v>11</v>
      </c>
      <c r="B7" s="109">
        <f>[1]Eelarvearuanne!H14</f>
        <v>945583.19</v>
      </c>
      <c r="C7" s="109">
        <f>[1]Eelarvearuanne!D14</f>
        <v>1061169</v>
      </c>
      <c r="D7" s="8">
        <f>1050000+150000</f>
        <v>1200000</v>
      </c>
      <c r="E7" s="8">
        <f t="shared" ref="E7:G7" si="2">1050000+150000</f>
        <v>1200000</v>
      </c>
      <c r="F7" s="8">
        <f t="shared" si="2"/>
        <v>1200000</v>
      </c>
      <c r="G7" s="8">
        <f t="shared" si="2"/>
        <v>1200000</v>
      </c>
    </row>
    <row r="8" spans="1:7">
      <c r="A8" s="4" t="s">
        <v>12</v>
      </c>
      <c r="B8" s="100">
        <f t="shared" ref="B8:G8" si="3">SUM(B9:B11)</f>
        <v>7205662.8600000003</v>
      </c>
      <c r="C8" s="98">
        <f t="shared" si="3"/>
        <v>7534678</v>
      </c>
      <c r="D8" s="98">
        <f t="shared" si="3"/>
        <v>7373408</v>
      </c>
      <c r="E8" s="98">
        <f t="shared" si="3"/>
        <v>7373408</v>
      </c>
      <c r="F8" s="98">
        <f t="shared" si="3"/>
        <v>7373408</v>
      </c>
      <c r="G8" s="99">
        <f t="shared" si="3"/>
        <v>7373408</v>
      </c>
    </row>
    <row r="9" spans="1:7">
      <c r="A9" s="4" t="s">
        <v>13</v>
      </c>
      <c r="B9" s="109">
        <f>[1]Eelarvearuanne!H16</f>
        <v>1891528</v>
      </c>
      <c r="C9" s="109">
        <f>[1]Eelarvearuanne!D16</f>
        <v>1933180</v>
      </c>
      <c r="D9" s="8">
        <v>1934000</v>
      </c>
      <c r="E9" s="8">
        <v>1934000</v>
      </c>
      <c r="F9" s="8">
        <v>1934000</v>
      </c>
      <c r="G9" s="8">
        <v>1934000</v>
      </c>
    </row>
    <row r="10" spans="1:7">
      <c r="A10" s="4" t="s">
        <v>14</v>
      </c>
      <c r="B10" s="109">
        <f>[1]Eelarvearuanne!H17</f>
        <v>4909271</v>
      </c>
      <c r="C10" s="109">
        <f>[1]Eelarvearuanne!D17</f>
        <v>4989408</v>
      </c>
      <c r="D10" s="8">
        <v>4989408</v>
      </c>
      <c r="E10" s="8">
        <v>4989408</v>
      </c>
      <c r="F10" s="8">
        <v>4989408</v>
      </c>
      <c r="G10" s="8">
        <v>4989408</v>
      </c>
    </row>
    <row r="11" spans="1:7">
      <c r="A11" s="4" t="s">
        <v>15</v>
      </c>
      <c r="B11" s="109">
        <f>[1]Eelarvearuanne!H18</f>
        <v>404863.86</v>
      </c>
      <c r="C11" s="109">
        <f>[1]Eelarvearuanne!D18</f>
        <v>612090</v>
      </c>
      <c r="D11" s="126">
        <v>450000</v>
      </c>
      <c r="E11" s="126">
        <v>450000</v>
      </c>
      <c r="F11" s="126">
        <v>450000</v>
      </c>
      <c r="G11" s="126">
        <v>450000</v>
      </c>
    </row>
    <row r="12" spans="1:7">
      <c r="A12" s="4" t="s">
        <v>16</v>
      </c>
      <c r="B12" s="109">
        <f>[1]Eelarvearuanne!H19</f>
        <v>126199.65000000001</v>
      </c>
      <c r="C12" s="109">
        <f>[1]Eelarvearuanne!D19</f>
        <v>74632</v>
      </c>
      <c r="D12" s="8">
        <f>75000+20000</f>
        <v>95000</v>
      </c>
      <c r="E12" s="8">
        <f t="shared" ref="E12:G12" si="4">75000+20000</f>
        <v>95000</v>
      </c>
      <c r="F12" s="8">
        <f t="shared" si="4"/>
        <v>95000</v>
      </c>
      <c r="G12" s="8">
        <f t="shared" si="4"/>
        <v>95000</v>
      </c>
    </row>
    <row r="13" spans="1:7">
      <c r="A13" s="110" t="s">
        <v>17</v>
      </c>
      <c r="B13" s="101">
        <f t="shared" ref="B13:G13" si="5">SUM(B14:B15)</f>
        <v>16054070.289999997</v>
      </c>
      <c r="C13" s="101">
        <f>C14+C15</f>
        <v>17233911</v>
      </c>
      <c r="D13" s="102">
        <f t="shared" si="5"/>
        <v>17206822.039999999</v>
      </c>
      <c r="E13" s="102">
        <f t="shared" si="5"/>
        <v>17358072.039999999</v>
      </c>
      <c r="F13" s="102">
        <f t="shared" si="5"/>
        <v>17740572.039999999</v>
      </c>
      <c r="G13" s="103">
        <f t="shared" si="5"/>
        <v>17908022.039999999</v>
      </c>
    </row>
    <row r="14" spans="1:7">
      <c r="A14" s="4" t="s">
        <v>18</v>
      </c>
      <c r="B14" s="109">
        <f>-[1]Eelarvearuanne!H25</f>
        <v>745169.52</v>
      </c>
      <c r="C14" s="109">
        <f>-[1]Eelarvearuanne!D25</f>
        <v>904361</v>
      </c>
      <c r="D14" s="126">
        <f>750000-45000</f>
        <v>705000</v>
      </c>
      <c r="E14" s="126">
        <f t="shared" ref="E14:G14" si="6">750000-45000</f>
        <v>705000</v>
      </c>
      <c r="F14" s="126">
        <f t="shared" si="6"/>
        <v>705000</v>
      </c>
      <c r="G14" s="126">
        <f t="shared" si="6"/>
        <v>705000</v>
      </c>
    </row>
    <row r="15" spans="1:7">
      <c r="A15" s="4" t="s">
        <v>19</v>
      </c>
      <c r="B15" s="109">
        <f t="shared" ref="B15:G15" si="7">B16+B17+B19</f>
        <v>15308900.769999998</v>
      </c>
      <c r="C15" s="109">
        <f t="shared" si="7"/>
        <v>16329550</v>
      </c>
      <c r="D15" s="7">
        <f t="shared" si="7"/>
        <v>16501822.039999999</v>
      </c>
      <c r="E15" s="7">
        <f t="shared" si="7"/>
        <v>16653072.039999999</v>
      </c>
      <c r="F15" s="7">
        <f t="shared" si="7"/>
        <v>17035572.039999999</v>
      </c>
      <c r="G15" s="6">
        <f t="shared" si="7"/>
        <v>17203022.039999999</v>
      </c>
    </row>
    <row r="16" spans="1:7">
      <c r="A16" s="4" t="s">
        <v>20</v>
      </c>
      <c r="B16" s="109">
        <f>-[1]Eelarvearuanne!H31</f>
        <v>9768779.1099999994</v>
      </c>
      <c r="C16" s="109">
        <f>-[1]Eelarvearuanne!D31</f>
        <v>10894056</v>
      </c>
      <c r="D16" s="8">
        <v>10900000</v>
      </c>
      <c r="E16" s="8">
        <v>11010000</v>
      </c>
      <c r="F16" s="8">
        <v>11340000</v>
      </c>
      <c r="G16" s="9">
        <v>11455000</v>
      </c>
    </row>
    <row r="17" spans="1:11">
      <c r="A17" s="4" t="s">
        <v>21</v>
      </c>
      <c r="B17" s="109">
        <f>-[1]Eelarvearuanne!H32</f>
        <v>5532369.3099999996</v>
      </c>
      <c r="C17" s="109">
        <f>-[1]Eelarvearuanne!D32</f>
        <v>5360356</v>
      </c>
      <c r="D17" s="126">
        <f>5361000+150000</f>
        <v>5511000</v>
      </c>
      <c r="E17" s="126">
        <f>5400000+150000</f>
        <v>5550000</v>
      </c>
      <c r="F17" s="126">
        <f>5450000+150000</f>
        <v>5600000</v>
      </c>
      <c r="G17" s="126">
        <f>5500000+150000</f>
        <v>5650000</v>
      </c>
    </row>
    <row r="18" spans="1:11">
      <c r="A18" s="10" t="s">
        <v>22</v>
      </c>
      <c r="B18" s="109"/>
      <c r="C18" s="109"/>
      <c r="D18" s="8"/>
      <c r="E18" s="8"/>
      <c r="F18" s="8"/>
      <c r="G18" s="9"/>
    </row>
    <row r="19" spans="1:11">
      <c r="A19" s="4" t="s">
        <v>23</v>
      </c>
      <c r="B19" s="109">
        <f>-[1]Eelarvearuanne!H33</f>
        <v>7752.35</v>
      </c>
      <c r="C19" s="109">
        <f>-[1]Eelarvearuanne!D33</f>
        <v>75138</v>
      </c>
      <c r="D19" s="8">
        <f>D2*0.005</f>
        <v>90822.040000000008</v>
      </c>
      <c r="E19" s="8">
        <f>E2*0.005</f>
        <v>93072.040000000008</v>
      </c>
      <c r="F19" s="8">
        <f>F2*0.005</f>
        <v>95572.040000000008</v>
      </c>
      <c r="G19" s="8">
        <f>G2*0.005</f>
        <v>98022.040000000008</v>
      </c>
    </row>
    <row r="20" spans="1:11">
      <c r="A20" s="81" t="s">
        <v>24</v>
      </c>
      <c r="B20" s="82">
        <f t="shared" ref="B20:G20" si="8">B2-B13</f>
        <v>798951.38000000082</v>
      </c>
      <c r="C20" s="83">
        <f t="shared" si="8"/>
        <v>432568</v>
      </c>
      <c r="D20" s="83">
        <f t="shared" si="8"/>
        <v>957585.96000000089</v>
      </c>
      <c r="E20" s="83">
        <f t="shared" si="8"/>
        <v>1256335.9600000009</v>
      </c>
      <c r="F20" s="83">
        <f t="shared" si="8"/>
        <v>1373835.9600000009</v>
      </c>
      <c r="G20" s="84">
        <f t="shared" si="8"/>
        <v>1696385.9600000009</v>
      </c>
    </row>
    <row r="21" spans="1:11">
      <c r="A21" s="11" t="s">
        <v>25</v>
      </c>
      <c r="B21" s="101">
        <f t="shared" ref="B21:G21" si="9">B22+B23+B25+B26+B27+B28+B29+B30+B31+B32</f>
        <v>-2786297.11</v>
      </c>
      <c r="C21" s="101">
        <f>C22+C23+C25+C26+C27+C28+C29+C30+C31+C32</f>
        <v>-1952977</v>
      </c>
      <c r="D21" s="101">
        <f>D22+D23+D25+D26+D27+D28+D29+D30+D31+D32</f>
        <v>-1236635</v>
      </c>
      <c r="E21" s="101">
        <f t="shared" si="9"/>
        <v>-1650471</v>
      </c>
      <c r="F21" s="101">
        <f t="shared" si="9"/>
        <v>-1525463</v>
      </c>
      <c r="G21" s="103">
        <f t="shared" si="9"/>
        <v>-1946973</v>
      </c>
      <c r="K21" s="79"/>
    </row>
    <row r="22" spans="1:11">
      <c r="A22" s="80" t="s">
        <v>26</v>
      </c>
      <c r="B22" s="109">
        <f>[1]Eelarvearuanne!H36</f>
        <v>122439.69</v>
      </c>
      <c r="C22" s="109">
        <f>[1]Eelarvearuanne!D36</f>
        <v>50000</v>
      </c>
      <c r="D22" s="45">
        <f>300000</f>
        <v>300000</v>
      </c>
      <c r="E22" s="45">
        <f>250000+50000</f>
        <v>300000</v>
      </c>
      <c r="F22" s="45">
        <v>300000</v>
      </c>
      <c r="G22" s="45">
        <v>300000</v>
      </c>
    </row>
    <row r="23" spans="1:11">
      <c r="A23" s="80" t="s">
        <v>27</v>
      </c>
      <c r="B23" s="109">
        <f>[1]Eelarvearuanne!H37</f>
        <v>-4157648.63</v>
      </c>
      <c r="C23" s="109">
        <f>[1]Eelarvearuanne!D37</f>
        <v>-2703094</v>
      </c>
      <c r="D23" s="45">
        <f>-D91</f>
        <v>-1680000</v>
      </c>
      <c r="E23" s="45">
        <f>-E91</f>
        <v>-2190000</v>
      </c>
      <c r="F23" s="45">
        <f>-F91</f>
        <v>-2050000</v>
      </c>
      <c r="G23" s="46">
        <f>-G91</f>
        <v>-2600000</v>
      </c>
    </row>
    <row r="24" spans="1:11">
      <c r="A24" s="12" t="s">
        <v>28</v>
      </c>
      <c r="B24" s="109">
        <f>-(-B23-B25)</f>
        <v>-2835641.83</v>
      </c>
      <c r="C24" s="111">
        <f>-C93</f>
        <v>-1538424</v>
      </c>
      <c r="D24" s="8">
        <f>-D93</f>
        <v>-1380000</v>
      </c>
      <c r="E24" s="8">
        <f>-E93</f>
        <v>-1740000</v>
      </c>
      <c r="F24" s="8">
        <f>-F93</f>
        <v>-1600000</v>
      </c>
      <c r="G24" s="9">
        <f>-G93</f>
        <v>-2000000</v>
      </c>
    </row>
    <row r="25" spans="1:11">
      <c r="A25" s="13" t="s">
        <v>29</v>
      </c>
      <c r="B25" s="109">
        <f>[1]Eelarvearuanne!H38</f>
        <v>1322006.8</v>
      </c>
      <c r="C25" s="111">
        <f>[1]Eelarvearuanne!D38</f>
        <v>844451</v>
      </c>
      <c r="D25" s="8">
        <f>D92</f>
        <v>300000</v>
      </c>
      <c r="E25" s="8">
        <f>E92</f>
        <v>450000</v>
      </c>
      <c r="F25" s="8">
        <f>F92</f>
        <v>450000</v>
      </c>
      <c r="G25" s="9">
        <f>G92</f>
        <v>600000</v>
      </c>
    </row>
    <row r="26" spans="1:11">
      <c r="A26" s="14" t="s">
        <v>30</v>
      </c>
      <c r="B26" s="109">
        <f>[1]Eelarvearuanne!H39</f>
        <v>-58610.18</v>
      </c>
      <c r="C26" s="109">
        <f>[1]Eelarvearuanne!D39</f>
        <v>-90734</v>
      </c>
      <c r="D26" s="8">
        <v>-90000</v>
      </c>
      <c r="E26" s="8">
        <v>-90000</v>
      </c>
      <c r="F26" s="8">
        <v>-90000</v>
      </c>
      <c r="G26" s="8">
        <v>-90000</v>
      </c>
    </row>
    <row r="27" spans="1:11">
      <c r="A27" s="15" t="s">
        <v>31</v>
      </c>
      <c r="B27" s="109">
        <f>[1]Eelarvearuanne!H40+[1]Eelarvearuanne!H42</f>
        <v>0</v>
      </c>
      <c r="C27" s="109">
        <f>[1]Eelarvearuanne!D40+[1]Eelarvearuanne!D42</f>
        <v>0</v>
      </c>
      <c r="D27" s="8"/>
      <c r="E27" s="8"/>
      <c r="F27" s="8"/>
      <c r="G27" s="9"/>
    </row>
    <row r="28" spans="1:11">
      <c r="A28" s="15" t="s">
        <v>32</v>
      </c>
      <c r="B28" s="109">
        <f>[1]Eelarvearuanne!H41+[1]Eelarvearuanne!H43</f>
        <v>0</v>
      </c>
      <c r="C28" s="109">
        <f>[1]Eelarvearuanne!D41+[1]Eelarvearuanne!D43</f>
        <v>0</v>
      </c>
      <c r="D28" s="8"/>
      <c r="E28" s="8"/>
      <c r="F28" s="8"/>
      <c r="G28" s="9"/>
    </row>
    <row r="29" spans="1:11">
      <c r="A29" s="16" t="s">
        <v>33</v>
      </c>
      <c r="B29" s="112">
        <f>[1]Eelarvearuanne!H44</f>
        <v>72900</v>
      </c>
      <c r="C29" s="112">
        <f>[1]Eelarvearuanne!D44</f>
        <v>72900</v>
      </c>
      <c r="D29" s="8">
        <v>72900</v>
      </c>
      <c r="E29" s="8">
        <v>0</v>
      </c>
      <c r="F29" s="8">
        <v>0</v>
      </c>
      <c r="G29" s="9">
        <v>0</v>
      </c>
    </row>
    <row r="30" spans="1:11">
      <c r="A30" s="15" t="s">
        <v>34</v>
      </c>
      <c r="B30" s="109">
        <f>[1]Eelarvearuanne!H45</f>
        <v>0</v>
      </c>
      <c r="C30" s="109">
        <f>[1]Eelarvearuanne!D45</f>
        <v>0</v>
      </c>
      <c r="D30" s="123">
        <v>0</v>
      </c>
      <c r="E30" s="8">
        <v>0</v>
      </c>
      <c r="F30" s="8">
        <v>0</v>
      </c>
      <c r="G30" s="9">
        <v>0</v>
      </c>
    </row>
    <row r="31" spans="1:11">
      <c r="A31" s="17" t="s">
        <v>35</v>
      </c>
      <c r="B31" s="113">
        <f>[1]Eelarvearuanne!H46</f>
        <v>1483.01</v>
      </c>
      <c r="C31" s="113">
        <f>[1]Eelarvearuanne!D46</f>
        <v>1500</v>
      </c>
      <c r="D31" s="8">
        <v>1500</v>
      </c>
      <c r="E31" s="8">
        <v>1500</v>
      </c>
      <c r="F31" s="8">
        <v>1500</v>
      </c>
      <c r="G31" s="8">
        <v>1500</v>
      </c>
    </row>
    <row r="32" spans="1:11">
      <c r="A32" s="17" t="s">
        <v>36</v>
      </c>
      <c r="B32" s="109">
        <f>[1]Eelarvearuanne!H47</f>
        <v>-88867.8</v>
      </c>
      <c r="C32" s="109">
        <f>[1]Eelarvearuanne!D47</f>
        <v>-128000</v>
      </c>
      <c r="D32" s="8">
        <v>-141035</v>
      </c>
      <c r="E32" s="8">
        <v>-121971</v>
      </c>
      <c r="F32" s="8">
        <v>-136963</v>
      </c>
      <c r="G32" s="9">
        <v>-158473</v>
      </c>
    </row>
    <row r="33" spans="1:7">
      <c r="A33" s="11" t="s">
        <v>37</v>
      </c>
      <c r="B33" s="101">
        <f t="shared" ref="B33:G33" si="10">B20+B21</f>
        <v>-1987345.7299999991</v>
      </c>
      <c r="C33" s="102">
        <f t="shared" si="10"/>
        <v>-1520409</v>
      </c>
      <c r="D33" s="102">
        <f>D20+D21</f>
        <v>-279049.03999999911</v>
      </c>
      <c r="E33" s="102">
        <f t="shared" si="10"/>
        <v>-394135.03999999911</v>
      </c>
      <c r="F33" s="102">
        <f t="shared" si="10"/>
        <v>-151627.03999999911</v>
      </c>
      <c r="G33" s="103">
        <f t="shared" si="10"/>
        <v>-250587.03999999911</v>
      </c>
    </row>
    <row r="34" spans="1:7">
      <c r="A34" s="11" t="s">
        <v>38</v>
      </c>
      <c r="B34" s="101">
        <f t="shared" ref="B34:G34" si="11">B35+B36</f>
        <v>1831374.33</v>
      </c>
      <c r="C34" s="102">
        <f t="shared" si="11"/>
        <v>454500</v>
      </c>
      <c r="D34" s="102">
        <f t="shared" si="11"/>
        <v>-183040</v>
      </c>
      <c r="E34" s="102">
        <f t="shared" si="11"/>
        <v>392704</v>
      </c>
      <c r="F34" s="102">
        <f t="shared" si="11"/>
        <v>146108</v>
      </c>
      <c r="G34" s="103">
        <f t="shared" si="11"/>
        <v>485048</v>
      </c>
    </row>
    <row r="35" spans="1:7">
      <c r="A35" s="107" t="s">
        <v>39</v>
      </c>
      <c r="B35" s="109">
        <f>[1]Eelarvearuanne!H50</f>
        <v>3080000</v>
      </c>
      <c r="C35" s="109">
        <f>[1]Eelarvearuanne!D50</f>
        <v>1934120</v>
      </c>
      <c r="D35" s="45">
        <f>1700000-250000</f>
        <v>1450000</v>
      </c>
      <c r="E35" s="45">
        <f>2600000-820000</f>
        <v>1780000</v>
      </c>
      <c r="F35" s="45">
        <f>2550000-900000</f>
        <v>1650000</v>
      </c>
      <c r="G35" s="46">
        <f>2250000-160000</f>
        <v>2090000</v>
      </c>
    </row>
    <row r="36" spans="1:7">
      <c r="A36" s="18" t="s">
        <v>40</v>
      </c>
      <c r="B36" s="109">
        <f>[1]Eelarvearuanne!H51</f>
        <v>-1248625.67</v>
      </c>
      <c r="C36" s="109">
        <f>[1]Eelarvearuanne!D51</f>
        <v>-1479620</v>
      </c>
      <c r="D36" s="8">
        <v>-1633040</v>
      </c>
      <c r="E36" s="8">
        <f>-1412296+25000</f>
        <v>-1387296</v>
      </c>
      <c r="F36" s="8">
        <f>-1585892+82000</f>
        <v>-1503892</v>
      </c>
      <c r="G36" s="9">
        <f>-1834952+230000</f>
        <v>-1604952</v>
      </c>
    </row>
    <row r="37" spans="1:7" ht="25">
      <c r="A37" s="19" t="s">
        <v>41</v>
      </c>
      <c r="B37" s="109">
        <f>[1]Eelarvearuanne!H52</f>
        <v>529920.98</v>
      </c>
      <c r="C37" s="88">
        <f>[1]Eelarvearuanne!D52</f>
        <v>-1065909</v>
      </c>
      <c r="D37" s="90">
        <f>D33+D34+D38</f>
        <v>-462089.03999999911</v>
      </c>
      <c r="E37" s="91">
        <f>E33+E34+E38</f>
        <v>-1431.0399999991059</v>
      </c>
      <c r="F37" s="93">
        <f>F33+F34+F38</f>
        <v>-5519.0399999991059</v>
      </c>
      <c r="G37" s="95">
        <f>G33+G34+G38</f>
        <v>234460.96000000089</v>
      </c>
    </row>
    <row r="38" spans="1:7">
      <c r="A38" s="19" t="s">
        <v>42</v>
      </c>
      <c r="B38" s="7">
        <f>[1]Eelarvearuanne!H53</f>
        <v>685892.38</v>
      </c>
      <c r="C38" s="7">
        <f>[1]Eelarvearuanne!D53</f>
        <v>0</v>
      </c>
      <c r="D38" s="5">
        <f>D39+D40</f>
        <v>0</v>
      </c>
      <c r="E38" s="5">
        <f>E39+E40</f>
        <v>0</v>
      </c>
      <c r="F38" s="5">
        <f>F39+F40</f>
        <v>0</v>
      </c>
      <c r="G38" s="6">
        <f>G39+G40</f>
        <v>0</v>
      </c>
    </row>
    <row r="39" spans="1:7">
      <c r="A39" s="20" t="s">
        <v>43</v>
      </c>
      <c r="B39" s="7"/>
      <c r="C39" s="7"/>
      <c r="D39" s="124"/>
      <c r="E39" s="124"/>
      <c r="F39" s="124"/>
      <c r="G39" s="125"/>
    </row>
    <row r="40" spans="1:7">
      <c r="A40" s="21" t="s">
        <v>44</v>
      </c>
      <c r="B40" s="22"/>
      <c r="C40" s="22"/>
      <c r="D40" s="8"/>
      <c r="E40" s="8"/>
      <c r="F40" s="8"/>
      <c r="G40" s="9"/>
    </row>
    <row r="41" spans="1:7">
      <c r="A41" s="85" t="s">
        <v>45</v>
      </c>
      <c r="B41" s="87">
        <f>[1]Eelarvearuanne!H158</f>
        <v>1630110.99</v>
      </c>
      <c r="C41" s="89">
        <f>B41+C37</f>
        <v>564201.99</v>
      </c>
      <c r="D41" s="23">
        <f>C41+D37</f>
        <v>102112.95000000088</v>
      </c>
      <c r="E41" s="92">
        <f>D41+E37</f>
        <v>100681.91000000178</v>
      </c>
      <c r="F41" s="94">
        <f>E41+F37</f>
        <v>95162.870000002673</v>
      </c>
      <c r="G41" s="86">
        <f>F41+G37</f>
        <v>329623.83000000357</v>
      </c>
    </row>
    <row r="42" spans="1:7">
      <c r="A42" s="19" t="s">
        <v>46</v>
      </c>
      <c r="B42" s="108">
        <f>[1]Eelarvearuanne!H156</f>
        <v>10455959.220000001</v>
      </c>
      <c r="C42" s="43">
        <f>B42+C34+C43-B43</f>
        <v>10910459.220000001</v>
      </c>
      <c r="D42" s="43">
        <f>C42+D34+D43-C43</f>
        <v>10727419.220000001</v>
      </c>
      <c r="E42" s="43">
        <f>D42+E34+E43-D43</f>
        <v>11120123.220000001</v>
      </c>
      <c r="F42" s="43">
        <f>E42+F34+F43-E43</f>
        <v>11266231.220000001</v>
      </c>
      <c r="G42" s="55">
        <f>F42+G34+G43-F43</f>
        <v>11751279.220000001</v>
      </c>
    </row>
    <row r="43" spans="1:7" ht="31">
      <c r="A43" s="24" t="s">
        <v>47</v>
      </c>
      <c r="B43" s="7"/>
      <c r="C43" s="7"/>
      <c r="D43" s="8"/>
      <c r="E43" s="8"/>
      <c r="F43" s="8"/>
      <c r="G43" s="9"/>
    </row>
    <row r="44" spans="1:7" ht="21">
      <c r="A44" s="24" t="s">
        <v>48</v>
      </c>
      <c r="B44" s="25">
        <f>[1]Eelarvearuanne!H157</f>
        <v>0</v>
      </c>
      <c r="C44" s="25">
        <f>[1]Eelarvearuanne!D157</f>
        <v>0</v>
      </c>
      <c r="D44" s="8"/>
      <c r="E44" s="8"/>
      <c r="F44" s="8"/>
      <c r="G44" s="26"/>
    </row>
    <row r="45" spans="1:7">
      <c r="A45" s="19" t="s">
        <v>49</v>
      </c>
      <c r="B45" s="100">
        <f t="shared" ref="B45:G45" si="12">IF(B42-B41&lt;0,0,B42-B41)</f>
        <v>8825848.2300000004</v>
      </c>
      <c r="C45" s="100">
        <f>IF(C42-C41&lt;0,0,C42-C41)</f>
        <v>10346257.23</v>
      </c>
      <c r="D45" s="100">
        <f t="shared" si="12"/>
        <v>10625306.27</v>
      </c>
      <c r="E45" s="100">
        <f t="shared" si="12"/>
        <v>11019441.309999999</v>
      </c>
      <c r="F45" s="100">
        <f t="shared" si="12"/>
        <v>11171068.349999998</v>
      </c>
      <c r="G45" s="99">
        <f t="shared" si="12"/>
        <v>11421655.389999997</v>
      </c>
    </row>
    <row r="46" spans="1:7">
      <c r="A46" s="19" t="s">
        <v>50</v>
      </c>
      <c r="B46" s="104">
        <f t="shared" ref="B46:G46" si="13">B45/B2</f>
        <v>0.52369529944359239</v>
      </c>
      <c r="C46" s="105">
        <f>C45/C2</f>
        <v>0.58564342277824577</v>
      </c>
      <c r="D46" s="105">
        <f t="shared" si="13"/>
        <v>0.58495197145979105</v>
      </c>
      <c r="E46" s="105">
        <f t="shared" si="13"/>
        <v>0.59198451597278834</v>
      </c>
      <c r="F46" s="105">
        <f t="shared" si="13"/>
        <v>0.5844318249354099</v>
      </c>
      <c r="G46" s="106">
        <f t="shared" si="13"/>
        <v>0.58260649288670163</v>
      </c>
    </row>
    <row r="47" spans="1:7">
      <c r="A47" s="19" t="s">
        <v>51</v>
      </c>
      <c r="B47" s="100">
        <f>IF((B20+B18)*10&gt;B2,B2+B44,IF((B20+B18)*10&lt;0.8*B2,0.8*B2+B44,(B20+B18)*10+B44))</f>
        <v>13482417.335999999</v>
      </c>
      <c r="C47" s="100">
        <f>IF((C20+C18)*10&gt;C2,C2+C44,IF((C20+C18)*10&lt;0.8*C2,0.8*C2+C44,(C20+C18)*10+C44))</f>
        <v>14133183.200000001</v>
      </c>
      <c r="D47" s="100">
        <f>IF((D20+D18)*10&gt;D2,D2+D44,IF((D20+D18)*10&lt;0.8*D2,0.8*D2+D44,(D20+D18)*10+D44))</f>
        <v>14531526.4</v>
      </c>
      <c r="E47" s="100">
        <f>IF((E20+E18)*10&gt;E2,E2+E44,IF((E20+E18)*10&lt;0.8*E2,0.8*E2+E44,(E20+E18)*10+E44))</f>
        <v>14891526.4</v>
      </c>
      <c r="F47" s="100">
        <f>IF((F20+F18)*10&gt;F2,F2+F44,IF((F20+F18)*10&lt;0.8*F2,0.8*F2+F44,(F20+F18)*10+F44))</f>
        <v>15291526.4</v>
      </c>
      <c r="G47" s="99">
        <f>IF((G20+G18)*9&gt;G2,G2+G44,IF((G20+G18)*9&lt;0.75*G2,0.75*G2+G44,(G20+G18)*9+G44))</f>
        <v>15267473.640000008</v>
      </c>
    </row>
    <row r="48" spans="1:7">
      <c r="A48" s="19" t="s">
        <v>52</v>
      </c>
      <c r="B48" s="105">
        <f t="shared" ref="B48:G48" si="14">B47/B2</f>
        <v>0.8</v>
      </c>
      <c r="C48" s="105">
        <f t="shared" si="14"/>
        <v>0.8</v>
      </c>
      <c r="D48" s="105">
        <f t="shared" si="14"/>
        <v>0.8</v>
      </c>
      <c r="E48" s="105">
        <f t="shared" si="14"/>
        <v>0.8</v>
      </c>
      <c r="F48" s="105">
        <f t="shared" si="14"/>
        <v>0.8</v>
      </c>
      <c r="G48" s="106">
        <f t="shared" si="14"/>
        <v>0.77877759124376555</v>
      </c>
    </row>
    <row r="49" spans="1:7">
      <c r="A49" s="19" t="s">
        <v>53</v>
      </c>
      <c r="B49" s="98">
        <f t="shared" ref="B49:G49" si="15">B47-B45</f>
        <v>4656569.1059999987</v>
      </c>
      <c r="C49" s="98">
        <f t="shared" si="15"/>
        <v>3786925.9700000007</v>
      </c>
      <c r="D49" s="98">
        <f t="shared" si="15"/>
        <v>3906220.1300000008</v>
      </c>
      <c r="E49" s="98">
        <f t="shared" si="15"/>
        <v>3872085.0900000017</v>
      </c>
      <c r="F49" s="98">
        <f t="shared" si="15"/>
        <v>4120458.0500000026</v>
      </c>
      <c r="G49" s="99">
        <f t="shared" si="15"/>
        <v>3845818.2500000112</v>
      </c>
    </row>
    <row r="50" spans="1:7">
      <c r="A50" s="27"/>
      <c r="B50" s="28"/>
      <c r="C50" s="29"/>
      <c r="D50" s="29"/>
      <c r="E50" s="29"/>
      <c r="F50" s="29"/>
      <c r="G50" s="30"/>
    </row>
    <row r="51" spans="1:7" ht="16" thickBot="1">
      <c r="A51" s="31" t="s">
        <v>54</v>
      </c>
      <c r="B51" s="32">
        <f t="shared" ref="B51:G51" si="16">B33+B34-B37+B38</f>
        <v>1.0477378964424133E-9</v>
      </c>
      <c r="C51" s="32">
        <f>C33+C34-C37+C38</f>
        <v>0</v>
      </c>
      <c r="D51" s="32">
        <f>D33+D34-D37+D38</f>
        <v>0</v>
      </c>
      <c r="E51" s="32">
        <f t="shared" si="16"/>
        <v>0</v>
      </c>
      <c r="F51" s="32">
        <f t="shared" si="16"/>
        <v>0</v>
      </c>
      <c r="G51" s="33">
        <f t="shared" si="16"/>
        <v>0</v>
      </c>
    </row>
    <row r="53" spans="1:7">
      <c r="A53" s="34" t="s">
        <v>55</v>
      </c>
      <c r="B53" s="35" t="s">
        <v>56</v>
      </c>
      <c r="C53" s="36">
        <f>C2/B2-1</f>
        <v>4.8267743668070739E-2</v>
      </c>
      <c r="D53" s="36">
        <f>D2/C2-1</f>
        <v>2.8184959776082152E-2</v>
      </c>
      <c r="E53" s="36">
        <f>E2/D2-1</f>
        <v>2.4773722325549974E-2</v>
      </c>
      <c r="F53" s="36">
        <f>F2/E2-1</f>
        <v>2.6860913331221647E-2</v>
      </c>
      <c r="G53" s="36">
        <f>G2/F2-1</f>
        <v>2.5635112528727078E-2</v>
      </c>
    </row>
    <row r="54" spans="1:7">
      <c r="A54" s="34" t="s">
        <v>57</v>
      </c>
      <c r="B54" s="35" t="s">
        <v>56</v>
      </c>
      <c r="C54" s="36">
        <f>C13/B13-1</f>
        <v>7.3491687072961165E-2</v>
      </c>
      <c r="D54" s="36">
        <f>D13/C13-1</f>
        <v>-1.5718405415927617E-3</v>
      </c>
      <c r="E54" s="36">
        <f>E13/D13-1</f>
        <v>8.7901182245271325E-3</v>
      </c>
      <c r="F54" s="36">
        <f>F13/E13-1</f>
        <v>2.2035857387765478E-2</v>
      </c>
      <c r="G54" s="36">
        <f>G13/F13-1</f>
        <v>9.4388162694216682E-3</v>
      </c>
    </row>
    <row r="55" spans="1:7">
      <c r="A55" s="34" t="s">
        <v>58</v>
      </c>
      <c r="B55" s="37">
        <f t="shared" ref="B55:G55" si="17">B2/B13</f>
        <v>1.04976628142071</v>
      </c>
      <c r="C55" s="37">
        <f t="shared" si="17"/>
        <v>1.0250998162866223</v>
      </c>
      <c r="D55" s="37">
        <f t="shared" si="17"/>
        <v>1.0556515292465942</v>
      </c>
      <c r="E55" s="37">
        <f t="shared" si="17"/>
        <v>1.0723776210344615</v>
      </c>
      <c r="F55" s="37">
        <f t="shared" si="17"/>
        <v>1.0774403416587914</v>
      </c>
      <c r="G55" s="37">
        <f t="shared" si="17"/>
        <v>1.094727712318585</v>
      </c>
    </row>
    <row r="56" spans="1:7" ht="16" thickBot="1"/>
    <row r="57" spans="1:7" ht="38" thickBot="1">
      <c r="A57" s="38" t="s">
        <v>59</v>
      </c>
      <c r="B57" s="2"/>
      <c r="C57" s="2" t="s">
        <v>1</v>
      </c>
      <c r="D57" s="2" t="s">
        <v>2</v>
      </c>
      <c r="E57" s="2" t="s">
        <v>3</v>
      </c>
      <c r="F57" s="2" t="s">
        <v>4</v>
      </c>
      <c r="G57" s="2" t="s">
        <v>5</v>
      </c>
    </row>
    <row r="58" spans="1:7">
      <c r="A58" s="39" t="s">
        <v>60</v>
      </c>
      <c r="B58" s="40">
        <f t="shared" ref="B58:G58" si="18">SUM(B59:B60)</f>
        <v>-2</v>
      </c>
      <c r="C58" s="40">
        <f t="shared" si="18"/>
        <v>0</v>
      </c>
      <c r="D58" s="40">
        <f t="shared" si="18"/>
        <v>0</v>
      </c>
      <c r="E58" s="40">
        <f t="shared" si="18"/>
        <v>0</v>
      </c>
      <c r="F58" s="40">
        <f t="shared" si="18"/>
        <v>0</v>
      </c>
      <c r="G58" s="41">
        <f t="shared" si="18"/>
        <v>0</v>
      </c>
    </row>
    <row r="59" spans="1:7">
      <c r="A59" s="42" t="s">
        <v>61</v>
      </c>
      <c r="B59" s="43">
        <v>57360</v>
      </c>
      <c r="C59" s="44"/>
      <c r="D59" s="44"/>
      <c r="E59" s="45"/>
      <c r="F59" s="45"/>
      <c r="G59" s="46"/>
    </row>
    <row r="60" spans="1:7">
      <c r="A60" s="42" t="s">
        <v>62</v>
      </c>
      <c r="B60" s="43">
        <f>-57360-2</f>
        <v>-57362</v>
      </c>
      <c r="C60" s="44"/>
      <c r="D60" s="44"/>
      <c r="E60" s="45"/>
      <c r="F60" s="45"/>
      <c r="G60" s="46"/>
    </row>
    <row r="61" spans="1:7">
      <c r="A61" s="39" t="s">
        <v>63</v>
      </c>
      <c r="B61" s="40">
        <f t="shared" ref="B61:G61" si="19">SUM(B62:B63)</f>
        <v>0</v>
      </c>
      <c r="C61" s="40">
        <f t="shared" si="19"/>
        <v>0</v>
      </c>
      <c r="D61" s="40">
        <f t="shared" si="19"/>
        <v>0</v>
      </c>
      <c r="E61" s="40">
        <f t="shared" si="19"/>
        <v>0</v>
      </c>
      <c r="F61" s="40">
        <f t="shared" si="19"/>
        <v>0</v>
      </c>
      <c r="G61" s="41">
        <f t="shared" si="19"/>
        <v>0</v>
      </c>
    </row>
    <row r="62" spans="1:7">
      <c r="A62" s="42" t="s">
        <v>61</v>
      </c>
      <c r="B62" s="43">
        <v>0</v>
      </c>
      <c r="C62" s="44"/>
      <c r="D62" s="44"/>
      <c r="E62" s="45"/>
      <c r="F62" s="45"/>
      <c r="G62" s="46"/>
    </row>
    <row r="63" spans="1:7">
      <c r="A63" s="42" t="s">
        <v>62</v>
      </c>
      <c r="B63" s="43">
        <v>0</v>
      </c>
      <c r="C63" s="44"/>
      <c r="D63" s="44"/>
      <c r="E63" s="45"/>
      <c r="F63" s="45"/>
      <c r="G63" s="46"/>
    </row>
    <row r="64" spans="1:7">
      <c r="A64" s="39" t="s">
        <v>64</v>
      </c>
      <c r="B64" s="40">
        <f t="shared" ref="B64:G64" si="20">SUM(B65:B66)</f>
        <v>0</v>
      </c>
      <c r="C64" s="40">
        <f t="shared" si="20"/>
        <v>37303</v>
      </c>
      <c r="D64" s="40">
        <f t="shared" si="20"/>
        <v>0</v>
      </c>
      <c r="E64" s="40">
        <f t="shared" si="20"/>
        <v>0</v>
      </c>
      <c r="F64" s="40">
        <f t="shared" si="20"/>
        <v>0</v>
      </c>
      <c r="G64" s="41">
        <f t="shared" si="20"/>
        <v>0</v>
      </c>
    </row>
    <row r="65" spans="1:7">
      <c r="A65" s="42" t="s">
        <v>61</v>
      </c>
      <c r="B65" s="43">
        <v>0</v>
      </c>
      <c r="C65" s="44">
        <f t="shared" ref="C65:G66" si="21">C98</f>
        <v>29842</v>
      </c>
      <c r="D65" s="44">
        <f t="shared" si="21"/>
        <v>0</v>
      </c>
      <c r="E65" s="44">
        <f t="shared" si="21"/>
        <v>0</v>
      </c>
      <c r="F65" s="44">
        <f t="shared" si="21"/>
        <v>0</v>
      </c>
      <c r="G65" s="44">
        <f t="shared" si="21"/>
        <v>0</v>
      </c>
    </row>
    <row r="66" spans="1:7">
      <c r="A66" s="42" t="s">
        <v>62</v>
      </c>
      <c r="B66" s="43">
        <v>0</v>
      </c>
      <c r="C66" s="44">
        <f t="shared" si="21"/>
        <v>7461</v>
      </c>
      <c r="D66" s="44">
        <f t="shared" si="21"/>
        <v>0</v>
      </c>
      <c r="E66" s="44">
        <f t="shared" si="21"/>
        <v>0</v>
      </c>
      <c r="F66" s="44">
        <f t="shared" si="21"/>
        <v>0</v>
      </c>
      <c r="G66" s="44">
        <f t="shared" si="21"/>
        <v>0</v>
      </c>
    </row>
    <row r="67" spans="1:7">
      <c r="A67" s="39" t="s">
        <v>65</v>
      </c>
      <c r="B67" s="40">
        <f t="shared" ref="B67:G67" si="22">SUM(B68:B69)</f>
        <v>1885352</v>
      </c>
      <c r="C67" s="40">
        <f t="shared" si="22"/>
        <v>1410497</v>
      </c>
      <c r="D67" s="40">
        <f t="shared" si="22"/>
        <v>1020000</v>
      </c>
      <c r="E67" s="40">
        <f t="shared" si="22"/>
        <v>1020000</v>
      </c>
      <c r="F67" s="40">
        <f t="shared" si="22"/>
        <v>1020000</v>
      </c>
      <c r="G67" s="41">
        <f t="shared" si="22"/>
        <v>1020000</v>
      </c>
    </row>
    <row r="68" spans="1:7">
      <c r="A68" s="42" t="s">
        <v>61</v>
      </c>
      <c r="B68" s="43">
        <v>933627</v>
      </c>
      <c r="C68" s="44">
        <f>C101+C104+C107+C110+C113+C116+C119+C122+C125+C128</f>
        <v>599209</v>
      </c>
      <c r="D68" s="44">
        <f t="shared" ref="D68:G68" si="23">D101+D104+D107+D110+D113+D116+D119+D122+D125+D128</f>
        <v>0</v>
      </c>
      <c r="E68" s="44">
        <f t="shared" si="23"/>
        <v>0</v>
      </c>
      <c r="F68" s="44">
        <f t="shared" si="23"/>
        <v>0</v>
      </c>
      <c r="G68" s="44">
        <f t="shared" si="23"/>
        <v>0</v>
      </c>
    </row>
    <row r="69" spans="1:7">
      <c r="A69" s="42" t="s">
        <v>62</v>
      </c>
      <c r="B69" s="43">
        <f>1749992+135360-B68</f>
        <v>951725</v>
      </c>
      <c r="C69" s="44">
        <f>C102+C105+C108+C111+C114+C117+C120+C123+C126+C129</f>
        <v>811288</v>
      </c>
      <c r="D69" s="44">
        <f>D102+D105+D108+D111+D114+D117+D120+D123+D126+D129</f>
        <v>1020000</v>
      </c>
      <c r="E69" s="44">
        <f>E102+E105+E108+E111+E114+E117+E120+E123+E126+E129</f>
        <v>1020000</v>
      </c>
      <c r="F69" s="44">
        <f>F102+F105+F108+F111+F114+F117+F120+F123+F126+F129</f>
        <v>1020000</v>
      </c>
      <c r="G69" s="44">
        <f>G102+G105+G108+G111+G114+G117+G120+G123+G126+G129</f>
        <v>1020000</v>
      </c>
    </row>
    <row r="70" spans="1:7">
      <c r="A70" s="39" t="s">
        <v>66</v>
      </c>
      <c r="B70" s="40">
        <f t="shared" ref="B70:G70" si="24">SUM(B71:B72)</f>
        <v>573893</v>
      </c>
      <c r="C70" s="40">
        <f t="shared" si="24"/>
        <v>0</v>
      </c>
      <c r="D70" s="40">
        <f t="shared" si="24"/>
        <v>80000</v>
      </c>
      <c r="E70" s="40">
        <f t="shared" si="24"/>
        <v>0</v>
      </c>
      <c r="F70" s="40">
        <f t="shared" si="24"/>
        <v>0</v>
      </c>
      <c r="G70" s="41">
        <f t="shared" si="24"/>
        <v>0</v>
      </c>
    </row>
    <row r="71" spans="1:7">
      <c r="A71" s="42" t="s">
        <v>61</v>
      </c>
      <c r="B71" s="43">
        <v>0</v>
      </c>
      <c r="C71" s="45">
        <f>C131</f>
        <v>0</v>
      </c>
      <c r="D71" s="45">
        <f>D131</f>
        <v>0</v>
      </c>
      <c r="E71" s="45">
        <f t="shared" ref="E71:G71" si="25">E131</f>
        <v>0</v>
      </c>
      <c r="F71" s="45">
        <f t="shared" si="25"/>
        <v>0</v>
      </c>
      <c r="G71" s="45">
        <f t="shared" si="25"/>
        <v>0</v>
      </c>
    </row>
    <row r="72" spans="1:7">
      <c r="A72" s="42" t="s">
        <v>62</v>
      </c>
      <c r="B72" s="43">
        <v>573893</v>
      </c>
      <c r="C72" s="45">
        <f>C132</f>
        <v>0</v>
      </c>
      <c r="D72" s="45">
        <f>D132</f>
        <v>80000</v>
      </c>
      <c r="E72" s="45">
        <f t="shared" ref="E72:G72" si="26">E132</f>
        <v>0</v>
      </c>
      <c r="F72" s="45">
        <f t="shared" si="26"/>
        <v>0</v>
      </c>
      <c r="G72" s="45">
        <f t="shared" si="26"/>
        <v>0</v>
      </c>
    </row>
    <row r="73" spans="1:7">
      <c r="A73" s="39" t="s">
        <v>67</v>
      </c>
      <c r="B73" s="40">
        <f t="shared" ref="B73:G73" si="27">SUM(B74:B75)</f>
        <v>264093</v>
      </c>
      <c r="C73" s="40">
        <f t="shared" si="27"/>
        <v>958510</v>
      </c>
      <c r="D73" s="40">
        <f t="shared" si="27"/>
        <v>90000</v>
      </c>
      <c r="E73" s="40">
        <f t="shared" si="27"/>
        <v>20000</v>
      </c>
      <c r="F73" s="40">
        <f t="shared" si="27"/>
        <v>20000</v>
      </c>
      <c r="G73" s="41">
        <f t="shared" si="27"/>
        <v>20000</v>
      </c>
    </row>
    <row r="74" spans="1:7">
      <c r="A74" s="42" t="s">
        <v>61</v>
      </c>
      <c r="B74" s="43">
        <f>11334+90720+24581</f>
        <v>126635</v>
      </c>
      <c r="C74" s="45">
        <f>C134+C137+C140+C143+C146+C149</f>
        <v>578204</v>
      </c>
      <c r="D74" s="45">
        <f>D134+D137+D140+D143+D146+D149</f>
        <v>0</v>
      </c>
      <c r="E74" s="45">
        <f t="shared" ref="E74:G74" si="28">E134+E137+E140+E143+E146+E149</f>
        <v>0</v>
      </c>
      <c r="F74" s="45">
        <f t="shared" si="28"/>
        <v>0</v>
      </c>
      <c r="G74" s="45">
        <f t="shared" si="28"/>
        <v>0</v>
      </c>
    </row>
    <row r="75" spans="1:7">
      <c r="A75" s="42" t="s">
        <v>62</v>
      </c>
      <c r="B75" s="43">
        <f>22668+159159+35162+47104-B74</f>
        <v>137458</v>
      </c>
      <c r="C75" s="45">
        <f>C135+C138+C141+C144+C147+C150</f>
        <v>380306</v>
      </c>
      <c r="D75" s="45">
        <f>D135+D138+D141+D144+D147+D150</f>
        <v>90000</v>
      </c>
      <c r="E75" s="45">
        <f>E135+E138+E141+E144+E147+E150</f>
        <v>20000</v>
      </c>
      <c r="F75" s="45">
        <f>F135+F138+F141+F144+F147+F150</f>
        <v>20000</v>
      </c>
      <c r="G75" s="45">
        <f>G135+G138+G141+G144+G147+G150</f>
        <v>20000</v>
      </c>
    </row>
    <row r="76" spans="1:7">
      <c r="A76" s="39" t="s">
        <v>68</v>
      </c>
      <c r="B76" s="40">
        <f t="shared" ref="B76:G76" si="29">SUM(B77:B78)</f>
        <v>35942</v>
      </c>
      <c r="C76" s="40">
        <f t="shared" si="29"/>
        <v>42793</v>
      </c>
      <c r="D76" s="40">
        <f t="shared" si="29"/>
        <v>40000</v>
      </c>
      <c r="E76" s="40">
        <f t="shared" si="29"/>
        <v>45000</v>
      </c>
      <c r="F76" s="40">
        <f t="shared" si="29"/>
        <v>50000</v>
      </c>
      <c r="G76" s="41">
        <f t="shared" si="29"/>
        <v>55000</v>
      </c>
    </row>
    <row r="77" spans="1:7">
      <c r="A77" s="42" t="s">
        <v>61</v>
      </c>
      <c r="B77" s="43">
        <v>0</v>
      </c>
      <c r="C77" s="45">
        <f t="shared" ref="C77:G78" si="30">C152</f>
        <v>0</v>
      </c>
      <c r="D77" s="45">
        <f t="shared" si="30"/>
        <v>0</v>
      </c>
      <c r="E77" s="45">
        <f t="shared" si="30"/>
        <v>0</v>
      </c>
      <c r="F77" s="45">
        <f t="shared" si="30"/>
        <v>0</v>
      </c>
      <c r="G77" s="45">
        <f t="shared" si="30"/>
        <v>0</v>
      </c>
    </row>
    <row r="78" spans="1:7">
      <c r="A78" s="42" t="s">
        <v>62</v>
      </c>
      <c r="B78" s="43">
        <v>35942</v>
      </c>
      <c r="C78" s="45">
        <f t="shared" si="30"/>
        <v>42793</v>
      </c>
      <c r="D78" s="45">
        <f t="shared" si="30"/>
        <v>40000</v>
      </c>
      <c r="E78" s="45">
        <f t="shared" si="30"/>
        <v>45000</v>
      </c>
      <c r="F78" s="45">
        <f t="shared" si="30"/>
        <v>50000</v>
      </c>
      <c r="G78" s="45">
        <f t="shared" si="30"/>
        <v>55000</v>
      </c>
    </row>
    <row r="79" spans="1:7">
      <c r="A79" s="39" t="s">
        <v>69</v>
      </c>
      <c r="B79" s="40">
        <f t="shared" ref="B79:G79" si="31">SUM(B80:B81)</f>
        <v>335481</v>
      </c>
      <c r="C79" s="40">
        <f t="shared" si="31"/>
        <v>271568</v>
      </c>
      <c r="D79" s="40">
        <f t="shared" si="31"/>
        <v>0</v>
      </c>
      <c r="E79" s="40">
        <f t="shared" si="31"/>
        <v>0</v>
      </c>
      <c r="F79" s="40">
        <f t="shared" si="31"/>
        <v>0</v>
      </c>
      <c r="G79" s="41">
        <f t="shared" si="31"/>
        <v>0</v>
      </c>
    </row>
    <row r="80" spans="1:7">
      <c r="A80" s="42" t="s">
        <v>61</v>
      </c>
      <c r="B80" s="43">
        <v>31749</v>
      </c>
      <c r="C80" s="45">
        <f>C155+C158</f>
        <v>49992</v>
      </c>
      <c r="D80" s="45">
        <f t="shared" ref="D80:G80" si="32">D155+D158</f>
        <v>0</v>
      </c>
      <c r="E80" s="45">
        <f t="shared" si="32"/>
        <v>0</v>
      </c>
      <c r="F80" s="45">
        <f t="shared" si="32"/>
        <v>0</v>
      </c>
      <c r="G80" s="45">
        <f t="shared" si="32"/>
        <v>0</v>
      </c>
    </row>
    <row r="81" spans="1:7">
      <c r="A81" s="42" t="s">
        <v>62</v>
      </c>
      <c r="B81" s="43">
        <f>153279+157536+24666-B80</f>
        <v>303732</v>
      </c>
      <c r="C81" s="45">
        <f>C156+C159</f>
        <v>221576</v>
      </c>
      <c r="D81" s="45">
        <f t="shared" ref="D81:G81" si="33">D156+D159</f>
        <v>0</v>
      </c>
      <c r="E81" s="45">
        <f t="shared" si="33"/>
        <v>0</v>
      </c>
      <c r="F81" s="45">
        <f t="shared" si="33"/>
        <v>0</v>
      </c>
      <c r="G81" s="45">
        <f t="shared" si="33"/>
        <v>0</v>
      </c>
    </row>
    <row r="82" spans="1:7">
      <c r="A82" s="39" t="s">
        <v>70</v>
      </c>
      <c r="B82" s="40">
        <f t="shared" ref="B82:G82" si="34">SUM(B83:B84)</f>
        <v>1076814</v>
      </c>
      <c r="C82" s="40">
        <f t="shared" si="34"/>
        <v>75000</v>
      </c>
      <c r="D82" s="40">
        <f t="shared" si="34"/>
        <v>0</v>
      </c>
      <c r="E82" s="40">
        <f t="shared" si="34"/>
        <v>0</v>
      </c>
      <c r="F82" s="40">
        <f t="shared" si="34"/>
        <v>0</v>
      </c>
      <c r="G82" s="41">
        <f t="shared" si="34"/>
        <v>0</v>
      </c>
    </row>
    <row r="83" spans="1:7">
      <c r="A83" s="42" t="s">
        <v>61</v>
      </c>
      <c r="B83" s="43">
        <f>30000+930+50000+56373+35432</f>
        <v>172735</v>
      </c>
      <c r="C83" s="45">
        <f t="shared" ref="C83:G84" si="35">C161+C164+C167</f>
        <v>0</v>
      </c>
      <c r="D83" s="45">
        <f t="shared" si="35"/>
        <v>0</v>
      </c>
      <c r="E83" s="45">
        <f t="shared" si="35"/>
        <v>0</v>
      </c>
      <c r="F83" s="45">
        <f t="shared" si="35"/>
        <v>0</v>
      </c>
      <c r="G83" s="45">
        <f t="shared" si="35"/>
        <v>0</v>
      </c>
    </row>
    <row r="84" spans="1:7">
      <c r="A84" s="42" t="s">
        <v>62</v>
      </c>
      <c r="B84" s="43">
        <f>17000+112226+2362+24800+769594+150832-B83</f>
        <v>904079</v>
      </c>
      <c r="C84" s="45">
        <f t="shared" si="35"/>
        <v>75000</v>
      </c>
      <c r="D84" s="45">
        <f t="shared" si="35"/>
        <v>0</v>
      </c>
      <c r="E84" s="45">
        <f t="shared" si="35"/>
        <v>0</v>
      </c>
      <c r="F84" s="45">
        <f t="shared" si="35"/>
        <v>0</v>
      </c>
      <c r="G84" s="45">
        <f t="shared" si="35"/>
        <v>0</v>
      </c>
    </row>
    <row r="85" spans="1:7">
      <c r="A85" s="39" t="s">
        <v>71</v>
      </c>
      <c r="B85" s="40">
        <f t="shared" ref="B85:G85" si="36">SUM(B86:B87)</f>
        <v>44685</v>
      </c>
      <c r="C85" s="40">
        <f t="shared" si="36"/>
        <v>0</v>
      </c>
      <c r="D85" s="40">
        <f t="shared" si="36"/>
        <v>0</v>
      </c>
      <c r="E85" s="40">
        <f t="shared" si="36"/>
        <v>0</v>
      </c>
      <c r="F85" s="40">
        <f t="shared" si="36"/>
        <v>0</v>
      </c>
      <c r="G85" s="41">
        <f t="shared" si="36"/>
        <v>0</v>
      </c>
    </row>
    <row r="86" spans="1:7">
      <c r="A86" s="42" t="s">
        <v>61</v>
      </c>
      <c r="B86" s="43">
        <v>0</v>
      </c>
      <c r="C86" s="44">
        <v>0</v>
      </c>
      <c r="D86" s="44">
        <v>0</v>
      </c>
      <c r="E86" s="45">
        <v>0</v>
      </c>
      <c r="F86" s="45">
        <v>0</v>
      </c>
      <c r="G86" s="46">
        <v>0</v>
      </c>
    </row>
    <row r="87" spans="1:7">
      <c r="A87" s="42" t="s">
        <v>62</v>
      </c>
      <c r="B87" s="43">
        <f>36862+7823</f>
        <v>44685</v>
      </c>
      <c r="C87" s="44">
        <v>0</v>
      </c>
      <c r="D87" s="44">
        <v>0</v>
      </c>
      <c r="E87" s="45">
        <v>0</v>
      </c>
      <c r="F87" s="45">
        <v>0</v>
      </c>
      <c r="G87" s="46">
        <v>0</v>
      </c>
    </row>
    <row r="88" spans="1:7">
      <c r="A88" s="47" t="s">
        <v>100</v>
      </c>
      <c r="B88" s="48"/>
      <c r="C88" s="49">
        <f>SUM(C89:C90)</f>
        <v>0</v>
      </c>
      <c r="D88" s="49">
        <f>SUM(D89:D90)</f>
        <v>450000</v>
      </c>
      <c r="E88" s="49">
        <f>SUM(E89:E90)</f>
        <v>1105000</v>
      </c>
      <c r="F88" s="49">
        <f>SUM(F89:F90)</f>
        <v>960000</v>
      </c>
      <c r="G88" s="50">
        <f>SUM(G89:G90)</f>
        <v>1505000</v>
      </c>
    </row>
    <row r="89" spans="1:7">
      <c r="A89" s="51" t="s">
        <v>61</v>
      </c>
      <c r="B89" s="48"/>
      <c r="C89" s="48">
        <v>0</v>
      </c>
      <c r="D89" s="48">
        <f>D170</f>
        <v>300000</v>
      </c>
      <c r="E89" s="48">
        <f t="shared" ref="E89:G90" si="37">E170</f>
        <v>450000</v>
      </c>
      <c r="F89" s="48">
        <f t="shared" si="37"/>
        <v>450000</v>
      </c>
      <c r="G89" s="48">
        <f t="shared" si="37"/>
        <v>600000</v>
      </c>
    </row>
    <row r="90" spans="1:7">
      <c r="A90" s="51" t="s">
        <v>62</v>
      </c>
      <c r="B90" s="48"/>
      <c r="C90" s="48">
        <v>0</v>
      </c>
      <c r="D90" s="48">
        <f>D171</f>
        <v>150000</v>
      </c>
      <c r="E90" s="48">
        <f t="shared" si="37"/>
        <v>655000</v>
      </c>
      <c r="F90" s="48">
        <f t="shared" si="37"/>
        <v>510000</v>
      </c>
      <c r="G90" s="48">
        <f t="shared" si="37"/>
        <v>905000</v>
      </c>
    </row>
    <row r="91" spans="1:7">
      <c r="A91" s="52" t="s">
        <v>72</v>
      </c>
      <c r="B91" s="53">
        <f t="shared" ref="B91:G91" si="38">SUM(B92:B93)</f>
        <v>4216259</v>
      </c>
      <c r="C91" s="53">
        <f t="shared" si="38"/>
        <v>2795671</v>
      </c>
      <c r="D91" s="53">
        <f t="shared" si="38"/>
        <v>1680000</v>
      </c>
      <c r="E91" s="53">
        <f t="shared" si="38"/>
        <v>2190000</v>
      </c>
      <c r="F91" s="53">
        <f t="shared" si="38"/>
        <v>2050000</v>
      </c>
      <c r="G91" s="54">
        <f t="shared" si="38"/>
        <v>2600000</v>
      </c>
    </row>
    <row r="92" spans="1:7">
      <c r="A92" s="42" t="s">
        <v>61</v>
      </c>
      <c r="B92" s="43">
        <f>B59+B62+B65+B68+B71+B74+B77+B80+B83+B86+1</f>
        <v>1322107</v>
      </c>
      <c r="C92" s="43">
        <f>C59+C62+C65+C68+C71+C74+C77+C80+C83+C86+C89</f>
        <v>1257247</v>
      </c>
      <c r="D92" s="43">
        <f>D59+D62+D65+D68+D71+D74+D77+D80+D83+D86+D89</f>
        <v>300000</v>
      </c>
      <c r="E92" s="43">
        <f>E59+E62+E65+E68+E71+E74+E77+E80+E83+E86+E89</f>
        <v>450000</v>
      </c>
      <c r="F92" s="43">
        <f>F59+F62+F65+F68+F71+F74+F77+F80+F83+F86+F89</f>
        <v>450000</v>
      </c>
      <c r="G92" s="55">
        <f>G59+G62+G65+G68+G71+G74+G77+G80+G83+G86+G89</f>
        <v>600000</v>
      </c>
    </row>
    <row r="93" spans="1:7" ht="16" thickBot="1">
      <c r="A93" s="56" t="s">
        <v>62</v>
      </c>
      <c r="B93" s="57">
        <f>B60+B63+B66+B69+B72+B75+B78+B81+B84+B87</f>
        <v>2894152</v>
      </c>
      <c r="C93" s="57">
        <f>C60+C63+C66+C69+C72+C75+C78+C81+C84+C87</f>
        <v>1538424</v>
      </c>
      <c r="D93" s="57">
        <f>D60+D63+D66+D69+D72+D75+D78+D81+D84+D87+D90</f>
        <v>1380000</v>
      </c>
      <c r="E93" s="57">
        <f>E60+E63+E66+E69+E72+E75+E78+E81+E84+E87+E90</f>
        <v>1740000</v>
      </c>
      <c r="F93" s="57">
        <f>F60+F63+F66+F69+F72+F75+F78+F81+F84+F87+F90</f>
        <v>1600000</v>
      </c>
      <c r="G93" s="58">
        <f>G60+G63+G66+G69+G72+G75+G78+G81+G84+G87+G90</f>
        <v>2000000</v>
      </c>
    </row>
    <row r="94" spans="1:7">
      <c r="A94" s="59" t="s">
        <v>73</v>
      </c>
      <c r="B94" s="60"/>
      <c r="C94" s="60"/>
      <c r="D94" s="60">
        <f t="shared" ref="D94:G94" si="39">D23+D91</f>
        <v>0</v>
      </c>
      <c r="E94" s="60">
        <f t="shared" si="39"/>
        <v>0</v>
      </c>
      <c r="F94" s="60">
        <f t="shared" si="39"/>
        <v>0</v>
      </c>
      <c r="G94" s="60">
        <f t="shared" si="39"/>
        <v>0</v>
      </c>
    </row>
    <row r="95" spans="1:7">
      <c r="A95" s="61"/>
      <c r="B95" s="61"/>
      <c r="C95" s="61"/>
      <c r="D95" s="61"/>
      <c r="E95" s="61"/>
      <c r="F95" s="61"/>
      <c r="G95" s="61"/>
    </row>
    <row r="96" spans="1:7">
      <c r="A96" s="62" t="s">
        <v>74</v>
      </c>
      <c r="B96" s="63"/>
      <c r="C96" s="63"/>
      <c r="D96" s="63"/>
      <c r="E96" s="63"/>
      <c r="F96" s="63"/>
      <c r="G96" s="61"/>
    </row>
    <row r="97" spans="1:7">
      <c r="A97" s="64" t="s">
        <v>75</v>
      </c>
      <c r="B97" s="40"/>
      <c r="C97" s="40">
        <f>SUM(C98:C99)</f>
        <v>37303</v>
      </c>
      <c r="D97" s="40">
        <f>SUM(D98:D99)</f>
        <v>0</v>
      </c>
      <c r="E97" s="40">
        <f>SUM(E98:E99)</f>
        <v>0</v>
      </c>
      <c r="F97" s="40">
        <f>SUM(F98:F99)</f>
        <v>0</v>
      </c>
      <c r="G97" s="40">
        <f>SUM(G98:G99)</f>
        <v>0</v>
      </c>
    </row>
    <row r="98" spans="1:7">
      <c r="A98" s="42" t="s">
        <v>61</v>
      </c>
      <c r="B98" s="65"/>
      <c r="C98" s="66">
        <v>29842</v>
      </c>
      <c r="D98" s="67">
        <v>0</v>
      </c>
      <c r="E98" s="67">
        <v>0</v>
      </c>
      <c r="F98" s="67">
        <v>0</v>
      </c>
      <c r="G98" s="118">
        <v>0</v>
      </c>
    </row>
    <row r="99" spans="1:7">
      <c r="A99" s="42" t="s">
        <v>62</v>
      </c>
      <c r="B99" s="65"/>
      <c r="C99" s="66">
        <v>7461</v>
      </c>
      <c r="D99" s="67">
        <v>0</v>
      </c>
      <c r="E99" s="67">
        <v>0</v>
      </c>
      <c r="F99" s="67">
        <v>0</v>
      </c>
      <c r="G99" s="118">
        <v>0</v>
      </c>
    </row>
    <row r="100" spans="1:7">
      <c r="A100" s="39" t="s">
        <v>76</v>
      </c>
      <c r="B100" s="40"/>
      <c r="C100" s="40">
        <f>SUM(C101:C102)</f>
        <v>600000</v>
      </c>
      <c r="D100" s="40">
        <f>SUM(D101:D102)</f>
        <v>1000000</v>
      </c>
      <c r="E100" s="40">
        <f>SUM(E101:E102)</f>
        <v>1000000</v>
      </c>
      <c r="F100" s="40">
        <f>SUM(F101:F102)</f>
        <v>1000000</v>
      </c>
      <c r="G100" s="41">
        <f>SUM(G101:G102)</f>
        <v>1000000</v>
      </c>
    </row>
    <row r="101" spans="1:7">
      <c r="A101" s="42" t="s">
        <v>61</v>
      </c>
      <c r="B101" s="114"/>
      <c r="C101" s="45">
        <v>100000</v>
      </c>
      <c r="D101" s="117">
        <v>0</v>
      </c>
      <c r="E101" s="117">
        <v>0</v>
      </c>
      <c r="F101" s="117">
        <v>0</v>
      </c>
      <c r="G101" s="117">
        <v>0</v>
      </c>
    </row>
    <row r="102" spans="1:7">
      <c r="A102" s="42" t="s">
        <v>62</v>
      </c>
      <c r="B102" s="114"/>
      <c r="C102" s="117">
        <v>500000</v>
      </c>
      <c r="D102" s="117">
        <v>1000000</v>
      </c>
      <c r="E102" s="157">
        <f>1000000-500000+500000</f>
        <v>1000000</v>
      </c>
      <c r="F102" s="157">
        <f>1000000-500000+500000</f>
        <v>1000000</v>
      </c>
      <c r="G102" s="157">
        <f>1000000-500000+500000</f>
        <v>1000000</v>
      </c>
    </row>
    <row r="103" spans="1:7">
      <c r="A103" s="39" t="s">
        <v>77</v>
      </c>
      <c r="B103" s="40"/>
      <c r="C103" s="40">
        <f>SUM(C104:C105)</f>
        <v>499209</v>
      </c>
      <c r="D103" s="40">
        <f>SUM(D104:D105)</f>
        <v>0</v>
      </c>
      <c r="E103" s="40">
        <f>SUM(E104:E105)</f>
        <v>0</v>
      </c>
      <c r="F103" s="40">
        <f>SUM(F104:F105)</f>
        <v>0</v>
      </c>
      <c r="G103" s="41">
        <f>SUM(G104:G105)</f>
        <v>0</v>
      </c>
    </row>
    <row r="104" spans="1:7">
      <c r="A104" s="42" t="s">
        <v>61</v>
      </c>
      <c r="B104" s="114"/>
      <c r="C104" s="117">
        <v>499209</v>
      </c>
      <c r="D104" s="117">
        <v>0</v>
      </c>
      <c r="E104" s="117">
        <v>0</v>
      </c>
      <c r="F104" s="117">
        <v>0</v>
      </c>
      <c r="G104" s="117">
        <v>0</v>
      </c>
    </row>
    <row r="105" spans="1:7">
      <c r="A105" s="42" t="s">
        <v>62</v>
      </c>
      <c r="B105" s="114"/>
      <c r="C105" s="117">
        <v>0</v>
      </c>
      <c r="D105" s="117">
        <v>0</v>
      </c>
      <c r="E105" s="117">
        <v>0</v>
      </c>
      <c r="F105" s="117">
        <v>0</v>
      </c>
      <c r="G105" s="117">
        <v>0</v>
      </c>
    </row>
    <row r="106" spans="1:7">
      <c r="A106" s="68" t="s">
        <v>78</v>
      </c>
      <c r="B106" s="40"/>
      <c r="C106" s="40">
        <f>SUM(C107:C108)</f>
        <v>28356</v>
      </c>
      <c r="D106" s="40">
        <f>SUM(D107:D108)</f>
        <v>0</v>
      </c>
      <c r="E106" s="40">
        <f>SUM(E107:E108)</f>
        <v>0</v>
      </c>
      <c r="F106" s="40">
        <f>SUM(F107:F108)</f>
        <v>0</v>
      </c>
      <c r="G106" s="41">
        <f>SUM(G107:G108)</f>
        <v>0</v>
      </c>
    </row>
    <row r="107" spans="1:7">
      <c r="A107" s="42" t="s">
        <v>61</v>
      </c>
      <c r="B107" s="114"/>
      <c r="C107" s="117">
        <v>0</v>
      </c>
      <c r="D107" s="117">
        <v>0</v>
      </c>
      <c r="E107" s="117">
        <v>0</v>
      </c>
      <c r="F107" s="117">
        <v>0</v>
      </c>
      <c r="G107" s="119">
        <v>0</v>
      </c>
    </row>
    <row r="108" spans="1:7">
      <c r="A108" s="42" t="s">
        <v>62</v>
      </c>
      <c r="B108" s="114"/>
      <c r="C108" s="66">
        <v>28356</v>
      </c>
      <c r="D108" s="117">
        <v>0</v>
      </c>
      <c r="E108" s="117">
        <v>0</v>
      </c>
      <c r="F108" s="117">
        <v>0</v>
      </c>
      <c r="G108" s="119">
        <v>0</v>
      </c>
    </row>
    <row r="109" spans="1:7">
      <c r="A109" s="68" t="s">
        <v>79</v>
      </c>
      <c r="B109" s="40"/>
      <c r="C109" s="40">
        <f>SUM(C110:C111)</f>
        <v>15756</v>
      </c>
      <c r="D109" s="40">
        <f>SUM(D110:D111)</f>
        <v>0</v>
      </c>
      <c r="E109" s="40">
        <f>SUM(E110:E111)</f>
        <v>0</v>
      </c>
      <c r="F109" s="40">
        <f>SUM(F110:F111)</f>
        <v>0</v>
      </c>
      <c r="G109" s="41">
        <f>SUM(G110:G111)</f>
        <v>0</v>
      </c>
    </row>
    <row r="110" spans="1:7">
      <c r="A110" s="42" t="s">
        <v>61</v>
      </c>
      <c r="B110" s="114"/>
      <c r="C110" s="117">
        <v>0</v>
      </c>
      <c r="D110" s="117">
        <v>0</v>
      </c>
      <c r="E110" s="117">
        <v>0</v>
      </c>
      <c r="F110" s="117">
        <v>0</v>
      </c>
      <c r="G110" s="119">
        <v>0</v>
      </c>
    </row>
    <row r="111" spans="1:7">
      <c r="A111" s="42" t="s">
        <v>62</v>
      </c>
      <c r="B111" s="114"/>
      <c r="C111" s="117">
        <v>15756</v>
      </c>
      <c r="D111" s="117">
        <v>0</v>
      </c>
      <c r="E111" s="117">
        <v>0</v>
      </c>
      <c r="F111" s="117">
        <v>0</v>
      </c>
      <c r="G111" s="119">
        <v>0</v>
      </c>
    </row>
    <row r="112" spans="1:7">
      <c r="A112" s="68" t="s">
        <v>80</v>
      </c>
      <c r="B112" s="40"/>
      <c r="C112" s="40">
        <f>SUM(C113:C114)</f>
        <v>20000</v>
      </c>
      <c r="D112" s="40">
        <f>SUM(D113:D114)</f>
        <v>20000</v>
      </c>
      <c r="E112" s="40">
        <f>SUM(E113:E114)</f>
        <v>20000</v>
      </c>
      <c r="F112" s="40">
        <f>SUM(F113:F114)</f>
        <v>20000</v>
      </c>
      <c r="G112" s="41">
        <f>SUM(G113:G114)</f>
        <v>20000</v>
      </c>
    </row>
    <row r="113" spans="1:7">
      <c r="A113" s="42" t="s">
        <v>61</v>
      </c>
      <c r="B113" s="114"/>
      <c r="C113" s="117">
        <v>0</v>
      </c>
      <c r="D113" s="117">
        <v>0</v>
      </c>
      <c r="E113" s="117">
        <v>0</v>
      </c>
      <c r="F113" s="117">
        <v>0</v>
      </c>
      <c r="G113" s="119">
        <v>0</v>
      </c>
    </row>
    <row r="114" spans="1:7">
      <c r="A114" s="42" t="s">
        <v>62</v>
      </c>
      <c r="B114" s="114"/>
      <c r="C114" s="117">
        <v>20000</v>
      </c>
      <c r="D114" s="117">
        <v>20000</v>
      </c>
      <c r="E114" s="117">
        <v>20000</v>
      </c>
      <c r="F114" s="117">
        <v>20000</v>
      </c>
      <c r="G114" s="117">
        <v>20000</v>
      </c>
    </row>
    <row r="115" spans="1:7">
      <c r="A115" s="69" t="s">
        <v>81</v>
      </c>
      <c r="B115" s="40"/>
      <c r="C115" s="40">
        <f>SUM(C116:C117)</f>
        <v>67176</v>
      </c>
      <c r="D115" s="40">
        <f>SUM(D116:D117)</f>
        <v>0</v>
      </c>
      <c r="E115" s="40">
        <f>SUM(E116:E117)</f>
        <v>0</v>
      </c>
      <c r="F115" s="40">
        <f>SUM(F116:F117)</f>
        <v>0</v>
      </c>
      <c r="G115" s="41">
        <f>SUM(G116:G117)</f>
        <v>0</v>
      </c>
    </row>
    <row r="116" spans="1:7">
      <c r="A116" s="42" t="s">
        <v>61</v>
      </c>
      <c r="B116" s="114"/>
      <c r="C116" s="117">
        <v>0</v>
      </c>
      <c r="D116" s="117">
        <v>0</v>
      </c>
      <c r="E116" s="117">
        <v>0</v>
      </c>
      <c r="F116" s="117">
        <v>0</v>
      </c>
      <c r="G116" s="119">
        <v>0</v>
      </c>
    </row>
    <row r="117" spans="1:7">
      <c r="A117" s="42" t="s">
        <v>62</v>
      </c>
      <c r="B117" s="114"/>
      <c r="C117" s="117">
        <v>67176</v>
      </c>
      <c r="D117" s="117">
        <v>0</v>
      </c>
      <c r="E117" s="117">
        <v>0</v>
      </c>
      <c r="F117" s="117">
        <v>0</v>
      </c>
      <c r="G117" s="119">
        <v>0</v>
      </c>
    </row>
    <row r="118" spans="1:7">
      <c r="A118" s="70" t="s">
        <v>82</v>
      </c>
      <c r="B118" s="40"/>
      <c r="C118" s="40">
        <f>SUM(C119:C120)</f>
        <v>20000</v>
      </c>
      <c r="D118" s="40">
        <f>SUM(D119:D120)</f>
        <v>0</v>
      </c>
      <c r="E118" s="40">
        <f>SUM(E119:E120)</f>
        <v>0</v>
      </c>
      <c r="F118" s="40">
        <f>SUM(F119:F120)</f>
        <v>0</v>
      </c>
      <c r="G118" s="41">
        <f>SUM(G119:G120)</f>
        <v>0</v>
      </c>
    </row>
    <row r="119" spans="1:7">
      <c r="A119" s="42" t="s">
        <v>61</v>
      </c>
      <c r="B119" s="114"/>
      <c r="C119" s="117">
        <v>0</v>
      </c>
      <c r="D119" s="66">
        <v>0</v>
      </c>
      <c r="E119" s="66">
        <v>0</v>
      </c>
      <c r="F119" s="117">
        <v>0</v>
      </c>
      <c r="G119" s="119">
        <v>0</v>
      </c>
    </row>
    <row r="120" spans="1:7">
      <c r="A120" s="42" t="s">
        <v>62</v>
      </c>
      <c r="B120" s="114"/>
      <c r="C120" s="117">
        <v>20000</v>
      </c>
      <c r="D120" s="66">
        <v>0</v>
      </c>
      <c r="E120" s="66">
        <v>0</v>
      </c>
      <c r="F120" s="117">
        <v>0</v>
      </c>
      <c r="G120" s="119">
        <v>0</v>
      </c>
    </row>
    <row r="121" spans="1:7">
      <c r="A121" s="70" t="s">
        <v>83</v>
      </c>
      <c r="B121" s="40"/>
      <c r="C121" s="40">
        <f>SUM(C122:C123)</f>
        <v>70000</v>
      </c>
      <c r="D121" s="40">
        <f>SUM(D122:D123)</f>
        <v>0</v>
      </c>
      <c r="E121" s="40">
        <f>SUM(E122:E123)</f>
        <v>0</v>
      </c>
      <c r="F121" s="40">
        <f>SUM(F122:F123)</f>
        <v>0</v>
      </c>
      <c r="G121" s="41">
        <f>SUM(G122:G123)</f>
        <v>0</v>
      </c>
    </row>
    <row r="122" spans="1:7">
      <c r="A122" s="42" t="s">
        <v>61</v>
      </c>
      <c r="B122" s="114"/>
      <c r="C122" s="117">
        <v>0</v>
      </c>
      <c r="D122" s="66">
        <v>0</v>
      </c>
      <c r="E122" s="66">
        <v>0</v>
      </c>
      <c r="F122" s="117">
        <v>0</v>
      </c>
      <c r="G122" s="119">
        <v>0</v>
      </c>
    </row>
    <row r="123" spans="1:7">
      <c r="A123" s="42" t="s">
        <v>62</v>
      </c>
      <c r="B123" s="114"/>
      <c r="C123" s="117">
        <v>70000</v>
      </c>
      <c r="D123" s="66">
        <v>0</v>
      </c>
      <c r="E123" s="66">
        <v>0</v>
      </c>
      <c r="F123" s="117">
        <v>0</v>
      </c>
      <c r="G123" s="119">
        <v>0</v>
      </c>
    </row>
    <row r="124" spans="1:7" ht="25">
      <c r="A124" s="71" t="s">
        <v>84</v>
      </c>
      <c r="B124" s="40"/>
      <c r="C124" s="40">
        <f>SUM(C125:C126)</f>
        <v>50000</v>
      </c>
      <c r="D124" s="40">
        <f>SUM(D125:D126)</f>
        <v>0</v>
      </c>
      <c r="E124" s="40">
        <f>SUM(E125:E126)</f>
        <v>0</v>
      </c>
      <c r="F124" s="40">
        <f>SUM(F125:F126)</f>
        <v>0</v>
      </c>
      <c r="G124" s="41">
        <f>SUM(G125:G126)</f>
        <v>0</v>
      </c>
    </row>
    <row r="125" spans="1:7">
      <c r="A125" s="42" t="s">
        <v>61</v>
      </c>
      <c r="B125" s="114"/>
      <c r="C125" s="117">
        <v>0</v>
      </c>
      <c r="D125" s="66">
        <v>0</v>
      </c>
      <c r="E125" s="66">
        <v>0</v>
      </c>
      <c r="F125" s="117">
        <v>0</v>
      </c>
      <c r="G125" s="119">
        <v>0</v>
      </c>
    </row>
    <row r="126" spans="1:7">
      <c r="A126" s="42" t="s">
        <v>62</v>
      </c>
      <c r="B126" s="114"/>
      <c r="C126" s="117">
        <v>50000</v>
      </c>
      <c r="D126" s="66">
        <v>0</v>
      </c>
      <c r="E126" s="66">
        <v>0</v>
      </c>
      <c r="F126" s="117">
        <v>0</v>
      </c>
      <c r="G126" s="119">
        <v>0</v>
      </c>
    </row>
    <row r="127" spans="1:7">
      <c r="A127" s="71" t="s">
        <v>85</v>
      </c>
      <c r="B127" s="40"/>
      <c r="C127" s="40">
        <f>SUM(C128:C129)</f>
        <v>40000</v>
      </c>
      <c r="D127" s="40">
        <f>SUM(D128:D129)</f>
        <v>0</v>
      </c>
      <c r="E127" s="40">
        <f>SUM(E128:E129)</f>
        <v>0</v>
      </c>
      <c r="F127" s="40">
        <f>SUM(F128:F129)</f>
        <v>0</v>
      </c>
      <c r="G127" s="41">
        <f>SUM(G128:G129)</f>
        <v>0</v>
      </c>
    </row>
    <row r="128" spans="1:7">
      <c r="A128" s="42" t="s">
        <v>61</v>
      </c>
      <c r="B128" s="114"/>
      <c r="C128" s="117">
        <v>0</v>
      </c>
      <c r="D128" s="66">
        <v>0</v>
      </c>
      <c r="E128" s="66">
        <v>0</v>
      </c>
      <c r="F128" s="117">
        <v>0</v>
      </c>
      <c r="G128" s="119">
        <v>0</v>
      </c>
    </row>
    <row r="129" spans="1:7">
      <c r="A129" s="42" t="s">
        <v>62</v>
      </c>
      <c r="B129" s="114"/>
      <c r="C129" s="117">
        <v>40000</v>
      </c>
      <c r="D129" s="66">
        <v>0</v>
      </c>
      <c r="E129" s="66">
        <v>0</v>
      </c>
      <c r="F129" s="117">
        <v>0</v>
      </c>
      <c r="G129" s="119">
        <v>0</v>
      </c>
    </row>
    <row r="130" spans="1:7">
      <c r="A130" s="139" t="s">
        <v>114</v>
      </c>
      <c r="B130" s="40"/>
      <c r="C130" s="40">
        <f>SUM(C131:C132)</f>
        <v>0</v>
      </c>
      <c r="D130" s="40">
        <f t="shared" ref="D130:G130" si="40">SUM(D131:D132)</f>
        <v>80000</v>
      </c>
      <c r="E130" s="40">
        <f t="shared" si="40"/>
        <v>0</v>
      </c>
      <c r="F130" s="40">
        <f t="shared" si="40"/>
        <v>0</v>
      </c>
      <c r="G130" s="40">
        <f t="shared" si="40"/>
        <v>0</v>
      </c>
    </row>
    <row r="131" spans="1:7">
      <c r="A131" s="42" t="s">
        <v>61</v>
      </c>
      <c r="B131" s="114"/>
      <c r="C131" s="117">
        <v>0</v>
      </c>
      <c r="D131" s="66">
        <v>0</v>
      </c>
      <c r="E131" s="66">
        <v>0</v>
      </c>
      <c r="F131" s="66">
        <v>0</v>
      </c>
      <c r="G131" s="66">
        <v>0</v>
      </c>
    </row>
    <row r="132" spans="1:7">
      <c r="A132" s="42" t="s">
        <v>62</v>
      </c>
      <c r="B132" s="114"/>
      <c r="C132" s="117">
        <v>0</v>
      </c>
      <c r="D132" s="91">
        <v>80000</v>
      </c>
      <c r="E132" s="66">
        <v>0</v>
      </c>
      <c r="F132" s="66">
        <v>0</v>
      </c>
      <c r="G132" s="66">
        <v>0</v>
      </c>
    </row>
    <row r="133" spans="1:7">
      <c r="A133" s="39" t="s">
        <v>86</v>
      </c>
      <c r="B133" s="40"/>
      <c r="C133" s="40">
        <f>SUM(C134:C135)</f>
        <v>863129</v>
      </c>
      <c r="D133" s="40">
        <f>SUM(D134:D135)</f>
        <v>0</v>
      </c>
      <c r="E133" s="40">
        <f>SUM(E134:E135)</f>
        <v>0</v>
      </c>
      <c r="F133" s="40">
        <f>SUM(F134:F135)</f>
        <v>0</v>
      </c>
      <c r="G133" s="41">
        <f>SUM(G134:G135)</f>
        <v>0</v>
      </c>
    </row>
    <row r="134" spans="1:7">
      <c r="A134" s="42" t="s">
        <v>61</v>
      </c>
      <c r="B134" s="114"/>
      <c r="C134" s="117">
        <v>558204</v>
      </c>
      <c r="D134" s="117">
        <v>0</v>
      </c>
      <c r="E134" s="117">
        <v>0</v>
      </c>
      <c r="F134" s="117">
        <v>0</v>
      </c>
      <c r="G134" s="117">
        <v>0</v>
      </c>
    </row>
    <row r="135" spans="1:7">
      <c r="A135" s="42" t="s">
        <v>62</v>
      </c>
      <c r="B135" s="114"/>
      <c r="C135" s="117">
        <v>304925</v>
      </c>
      <c r="D135" s="117">
        <v>0</v>
      </c>
      <c r="E135" s="117">
        <v>0</v>
      </c>
      <c r="F135" s="117">
        <v>0</v>
      </c>
      <c r="G135" s="117">
        <v>0</v>
      </c>
    </row>
    <row r="136" spans="1:7">
      <c r="A136" s="68" t="s">
        <v>87</v>
      </c>
      <c r="B136" s="40"/>
      <c r="C136" s="40">
        <f>SUM(C137:C138)</f>
        <v>12900</v>
      </c>
      <c r="D136" s="40">
        <f>SUM(D137:D138)</f>
        <v>0</v>
      </c>
      <c r="E136" s="40">
        <f>SUM(E137:E138)</f>
        <v>0</v>
      </c>
      <c r="F136" s="40">
        <f>SUM(F137:F138)</f>
        <v>0</v>
      </c>
      <c r="G136" s="41">
        <f>SUM(G137:G138)</f>
        <v>0</v>
      </c>
    </row>
    <row r="137" spans="1:7">
      <c r="A137" s="42" t="s">
        <v>61</v>
      </c>
      <c r="B137" s="114"/>
      <c r="C137" s="117">
        <v>0</v>
      </c>
      <c r="D137" s="117">
        <v>0</v>
      </c>
      <c r="E137" s="117">
        <v>0</v>
      </c>
      <c r="F137" s="117">
        <v>0</v>
      </c>
      <c r="G137" s="119">
        <v>0</v>
      </c>
    </row>
    <row r="138" spans="1:7">
      <c r="A138" s="42" t="s">
        <v>62</v>
      </c>
      <c r="B138" s="114"/>
      <c r="C138" s="117">
        <v>12900</v>
      </c>
      <c r="D138" s="117">
        <v>0</v>
      </c>
      <c r="E138" s="117">
        <v>0</v>
      </c>
      <c r="F138" s="117">
        <v>0</v>
      </c>
      <c r="G138" s="119">
        <v>0</v>
      </c>
    </row>
    <row r="139" spans="1:7">
      <c r="A139" s="68" t="s">
        <v>88</v>
      </c>
      <c r="B139" s="40"/>
      <c r="C139" s="40">
        <f>SUM(C140:C141)</f>
        <v>14990</v>
      </c>
      <c r="D139" s="40">
        <f>SUM(D140:D141)</f>
        <v>70000</v>
      </c>
      <c r="E139" s="40">
        <f>SUM(E140:E141)</f>
        <v>0</v>
      </c>
      <c r="F139" s="40">
        <f>SUM(F140:F141)</f>
        <v>0</v>
      </c>
      <c r="G139" s="41">
        <f>SUM(G140:G141)</f>
        <v>0</v>
      </c>
    </row>
    <row r="140" spans="1:7">
      <c r="A140" s="42" t="s">
        <v>61</v>
      </c>
      <c r="B140" s="115"/>
      <c r="C140" s="117">
        <v>0</v>
      </c>
      <c r="D140" s="117">
        <v>0</v>
      </c>
      <c r="E140" s="117">
        <v>0</v>
      </c>
      <c r="F140" s="117">
        <v>0</v>
      </c>
      <c r="G140" s="119">
        <v>0</v>
      </c>
    </row>
    <row r="141" spans="1:7">
      <c r="A141" s="42" t="s">
        <v>62</v>
      </c>
      <c r="B141" s="114"/>
      <c r="C141" s="117">
        <v>14990</v>
      </c>
      <c r="D141" s="158">
        <v>70000</v>
      </c>
      <c r="E141" s="117">
        <v>0</v>
      </c>
      <c r="F141" s="117">
        <v>0</v>
      </c>
      <c r="G141" s="119">
        <v>0</v>
      </c>
    </row>
    <row r="142" spans="1:7">
      <c r="A142" s="69" t="s">
        <v>89</v>
      </c>
      <c r="B142" s="40"/>
      <c r="C142" s="40">
        <f>SUM(C143:C144)</f>
        <v>20000</v>
      </c>
      <c r="D142" s="40">
        <f>SUM(D143:D144)</f>
        <v>0</v>
      </c>
      <c r="E142" s="40">
        <f>SUM(E143:E144)</f>
        <v>0</v>
      </c>
      <c r="F142" s="40">
        <f>SUM(F143:F144)</f>
        <v>0</v>
      </c>
      <c r="G142" s="41">
        <f>SUM(G143:G144)</f>
        <v>0</v>
      </c>
    </row>
    <row r="143" spans="1:7">
      <c r="A143" s="42" t="s">
        <v>90</v>
      </c>
      <c r="B143" s="115"/>
      <c r="C143" s="117">
        <v>0</v>
      </c>
      <c r="D143" s="117">
        <v>0</v>
      </c>
      <c r="E143" s="117">
        <v>0</v>
      </c>
      <c r="F143" s="117">
        <v>0</v>
      </c>
      <c r="G143" s="119">
        <v>0</v>
      </c>
    </row>
    <row r="144" spans="1:7">
      <c r="A144" s="42" t="s">
        <v>91</v>
      </c>
      <c r="B144" s="115"/>
      <c r="C144" s="117">
        <v>20000</v>
      </c>
      <c r="D144" s="117">
        <v>0</v>
      </c>
      <c r="E144" s="117">
        <v>0</v>
      </c>
      <c r="F144" s="117">
        <v>0</v>
      </c>
      <c r="G144" s="119">
        <v>0</v>
      </c>
    </row>
    <row r="145" spans="1:7">
      <c r="A145" s="69" t="s">
        <v>92</v>
      </c>
      <c r="B145" s="72"/>
      <c r="C145" s="72">
        <f>SUM(C146:C147)</f>
        <v>40000</v>
      </c>
      <c r="D145" s="72">
        <f>SUM(D146:D147)</f>
        <v>20000</v>
      </c>
      <c r="E145" s="72">
        <f>SUM(E146:E147)</f>
        <v>20000</v>
      </c>
      <c r="F145" s="72">
        <f>SUM(F146:F147)</f>
        <v>20000</v>
      </c>
      <c r="G145" s="73">
        <f>SUM(G146:G147)</f>
        <v>20000</v>
      </c>
    </row>
    <row r="146" spans="1:7">
      <c r="A146" s="42" t="s">
        <v>90</v>
      </c>
      <c r="B146" s="114"/>
      <c r="C146" s="120">
        <v>20000</v>
      </c>
      <c r="D146" s="120"/>
      <c r="E146" s="120"/>
      <c r="F146" s="120"/>
      <c r="G146" s="120"/>
    </row>
    <row r="147" spans="1:7">
      <c r="A147" s="42" t="s">
        <v>91</v>
      </c>
      <c r="B147" s="114"/>
      <c r="C147" s="120">
        <v>20000</v>
      </c>
      <c r="D147" s="120">
        <v>20000</v>
      </c>
      <c r="E147" s="120">
        <v>20000</v>
      </c>
      <c r="F147" s="120">
        <v>20000</v>
      </c>
      <c r="G147" s="120">
        <v>20000</v>
      </c>
    </row>
    <row r="148" spans="1:7">
      <c r="A148" s="69" t="s">
        <v>93</v>
      </c>
      <c r="B148" s="40"/>
      <c r="C148" s="40">
        <f>SUM(C149:C150)</f>
        <v>7491</v>
      </c>
      <c r="D148" s="40">
        <f>SUM(D149:D150)</f>
        <v>0</v>
      </c>
      <c r="E148" s="40">
        <f>SUM(E149:E150)</f>
        <v>0</v>
      </c>
      <c r="F148" s="40">
        <f>SUM(F149:F150)</f>
        <v>0</v>
      </c>
      <c r="G148" s="41">
        <f>SUM(G149:G150)</f>
        <v>0</v>
      </c>
    </row>
    <row r="149" spans="1:7">
      <c r="A149" s="42" t="s">
        <v>90</v>
      </c>
      <c r="B149" s="114"/>
      <c r="C149" s="117">
        <v>0</v>
      </c>
      <c r="D149" s="117">
        <v>0</v>
      </c>
      <c r="E149" s="117">
        <v>0</v>
      </c>
      <c r="F149" s="117">
        <v>0</v>
      </c>
      <c r="G149" s="119">
        <v>0</v>
      </c>
    </row>
    <row r="150" spans="1:7">
      <c r="A150" s="42" t="s">
        <v>91</v>
      </c>
      <c r="B150" s="114"/>
      <c r="C150" s="117">
        <v>7491</v>
      </c>
      <c r="D150" s="117">
        <v>0</v>
      </c>
      <c r="E150" s="117">
        <v>0</v>
      </c>
      <c r="F150" s="117">
        <v>0</v>
      </c>
      <c r="G150" s="119">
        <v>0</v>
      </c>
    </row>
    <row r="151" spans="1:7">
      <c r="A151" s="69" t="s">
        <v>94</v>
      </c>
      <c r="B151" s="40"/>
      <c r="C151" s="40">
        <f>SUM(C152:C153)</f>
        <v>42793</v>
      </c>
      <c r="D151" s="40">
        <f>SUM(D152:D153)</f>
        <v>40000</v>
      </c>
      <c r="E151" s="40">
        <f>SUM(E152:E153)</f>
        <v>45000</v>
      </c>
      <c r="F151" s="40">
        <f>SUM(F152:F153)</f>
        <v>50000</v>
      </c>
      <c r="G151" s="41">
        <f>SUM(G152:G153)</f>
        <v>55000</v>
      </c>
    </row>
    <row r="152" spans="1:7">
      <c r="A152" s="42" t="s">
        <v>90</v>
      </c>
      <c r="B152" s="114"/>
      <c r="C152" s="117">
        <v>0</v>
      </c>
      <c r="D152" s="117">
        <v>0</v>
      </c>
      <c r="E152" s="117">
        <v>0</v>
      </c>
      <c r="F152" s="117">
        <v>0</v>
      </c>
      <c r="G152" s="117">
        <v>0</v>
      </c>
    </row>
    <row r="153" spans="1:7">
      <c r="A153" s="42" t="s">
        <v>91</v>
      </c>
      <c r="B153" s="114"/>
      <c r="C153" s="66">
        <v>42793</v>
      </c>
      <c r="D153" s="66">
        <v>40000</v>
      </c>
      <c r="E153" s="66">
        <v>45000</v>
      </c>
      <c r="F153" s="74">
        <v>50000</v>
      </c>
      <c r="G153" s="119">
        <v>55000</v>
      </c>
    </row>
    <row r="154" spans="1:7">
      <c r="A154" s="39" t="s">
        <v>95</v>
      </c>
      <c r="B154" s="40"/>
      <c r="C154" s="40">
        <f>SUM(C155:C156)</f>
        <v>121568</v>
      </c>
      <c r="D154" s="40">
        <f>SUM(D155:D156)</f>
        <v>0</v>
      </c>
      <c r="E154" s="40">
        <f>SUM(E155:E156)</f>
        <v>0</v>
      </c>
      <c r="F154" s="40">
        <f>SUM(F155:F156)</f>
        <v>0</v>
      </c>
      <c r="G154" s="41">
        <f>SUM(G155:G156)</f>
        <v>0</v>
      </c>
    </row>
    <row r="155" spans="1:7">
      <c r="A155" s="42" t="s">
        <v>61</v>
      </c>
      <c r="B155" s="115"/>
      <c r="C155" s="45">
        <v>49992</v>
      </c>
      <c r="D155" s="117">
        <v>0</v>
      </c>
      <c r="E155" s="117">
        <v>0</v>
      </c>
      <c r="F155" s="117">
        <v>0</v>
      </c>
      <c r="G155" s="117">
        <v>0</v>
      </c>
    </row>
    <row r="156" spans="1:7">
      <c r="A156" s="42" t="s">
        <v>62</v>
      </c>
      <c r="B156" s="115"/>
      <c r="C156" s="66">
        <v>71576</v>
      </c>
      <c r="D156" s="117">
        <v>0</v>
      </c>
      <c r="E156" s="117">
        <v>0</v>
      </c>
      <c r="F156" s="117">
        <v>0</v>
      </c>
      <c r="G156" s="117">
        <v>0</v>
      </c>
    </row>
    <row r="157" spans="1:7">
      <c r="A157" s="69" t="s">
        <v>96</v>
      </c>
      <c r="B157" s="40"/>
      <c r="C157" s="40">
        <f>SUM(C158:C159)</f>
        <v>150000</v>
      </c>
      <c r="D157" s="40">
        <f>SUM(D158:D159)</f>
        <v>0</v>
      </c>
      <c r="E157" s="40">
        <f>SUM(E158:E159)</f>
        <v>0</v>
      </c>
      <c r="F157" s="40">
        <f>SUM(F158:F159)</f>
        <v>0</v>
      </c>
      <c r="G157" s="41">
        <f>SUM(G158:G159)</f>
        <v>0</v>
      </c>
    </row>
    <row r="158" spans="1:7">
      <c r="A158" s="42" t="s">
        <v>61</v>
      </c>
      <c r="B158" s="115"/>
      <c r="C158" s="117">
        <v>0</v>
      </c>
      <c r="D158" s="117">
        <v>0</v>
      </c>
      <c r="E158" s="117">
        <v>0</v>
      </c>
      <c r="F158" s="117">
        <v>0</v>
      </c>
      <c r="G158" s="117">
        <v>0</v>
      </c>
    </row>
    <row r="159" spans="1:7">
      <c r="A159" s="42" t="s">
        <v>62</v>
      </c>
      <c r="B159" s="115"/>
      <c r="C159" s="66">
        <v>150000</v>
      </c>
      <c r="D159" s="117">
        <v>0</v>
      </c>
      <c r="E159" s="117">
        <v>0</v>
      </c>
      <c r="F159" s="117">
        <v>0</v>
      </c>
      <c r="G159" s="117">
        <v>0</v>
      </c>
    </row>
    <row r="160" spans="1:7">
      <c r="A160" s="69" t="s">
        <v>97</v>
      </c>
      <c r="B160" s="40"/>
      <c r="C160" s="40">
        <f>SUM(C161:C162)</f>
        <v>20000</v>
      </c>
      <c r="D160" s="40">
        <f>SUM(D161:D162)</f>
        <v>0</v>
      </c>
      <c r="E160" s="40">
        <f>SUM(E161:E162)</f>
        <v>0</v>
      </c>
      <c r="F160" s="40">
        <f>SUM(F161:F162)</f>
        <v>0</v>
      </c>
      <c r="G160" s="41">
        <f>SUM(G161:G162)</f>
        <v>0</v>
      </c>
    </row>
    <row r="161" spans="1:8">
      <c r="A161" s="42" t="s">
        <v>61</v>
      </c>
      <c r="B161" s="115"/>
      <c r="C161" s="117">
        <v>0</v>
      </c>
      <c r="D161" s="117">
        <v>0</v>
      </c>
      <c r="E161" s="117">
        <v>0</v>
      </c>
      <c r="F161" s="117">
        <v>0</v>
      </c>
      <c r="G161" s="117">
        <v>0</v>
      </c>
    </row>
    <row r="162" spans="1:8">
      <c r="A162" s="42" t="s">
        <v>62</v>
      </c>
      <c r="B162" s="115"/>
      <c r="C162" s="117">
        <v>20000</v>
      </c>
      <c r="D162" s="66">
        <v>0</v>
      </c>
      <c r="E162" s="117">
        <v>0</v>
      </c>
      <c r="F162" s="117">
        <v>0</v>
      </c>
      <c r="G162" s="117">
        <v>0</v>
      </c>
    </row>
    <row r="163" spans="1:8" ht="37">
      <c r="A163" s="68" t="s">
        <v>98</v>
      </c>
      <c r="B163" s="40"/>
      <c r="C163" s="40">
        <f>SUM(C164:C165)</f>
        <v>30000</v>
      </c>
      <c r="D163" s="40">
        <f>SUM(D164:D165)</f>
        <v>0</v>
      </c>
      <c r="E163" s="40">
        <f>SUM(E164:E165)</f>
        <v>0</v>
      </c>
      <c r="F163" s="40">
        <f>SUM(F164:F165)</f>
        <v>0</v>
      </c>
      <c r="G163" s="41">
        <f>SUM(G164:G165)</f>
        <v>0</v>
      </c>
    </row>
    <row r="164" spans="1:8">
      <c r="A164" s="42" t="s">
        <v>61</v>
      </c>
      <c r="B164" s="114"/>
      <c r="C164" s="117">
        <v>0</v>
      </c>
      <c r="D164" s="117">
        <v>0</v>
      </c>
      <c r="E164" s="117">
        <v>0</v>
      </c>
      <c r="F164" s="117">
        <v>0</v>
      </c>
      <c r="G164" s="117">
        <v>0</v>
      </c>
    </row>
    <row r="165" spans="1:8">
      <c r="A165" s="42" t="s">
        <v>62</v>
      </c>
      <c r="B165" s="114"/>
      <c r="C165" s="117">
        <v>30000</v>
      </c>
      <c r="D165" s="117">
        <v>0</v>
      </c>
      <c r="E165" s="117">
        <v>0</v>
      </c>
      <c r="F165" s="117">
        <v>0</v>
      </c>
      <c r="G165" s="117">
        <v>0</v>
      </c>
    </row>
    <row r="166" spans="1:8">
      <c r="A166" s="75" t="s">
        <v>99</v>
      </c>
      <c r="B166" s="40"/>
      <c r="C166" s="40">
        <f>SUM(C167:C168)</f>
        <v>25000</v>
      </c>
      <c r="D166" s="40">
        <f>SUM(D167:D168)</f>
        <v>0</v>
      </c>
      <c r="E166" s="40">
        <f>SUM(E167:E168)</f>
        <v>0</v>
      </c>
      <c r="F166" s="40">
        <f>SUM(F167:F168)</f>
        <v>0</v>
      </c>
      <c r="G166" s="41">
        <f>SUM(G167:G168)</f>
        <v>0</v>
      </c>
    </row>
    <row r="167" spans="1:8">
      <c r="A167" s="42" t="s">
        <v>61</v>
      </c>
      <c r="B167" s="114"/>
      <c r="C167" s="117">
        <v>0</v>
      </c>
      <c r="D167" s="117">
        <v>0</v>
      </c>
      <c r="E167" s="117">
        <v>0</v>
      </c>
      <c r="F167" s="117">
        <v>0</v>
      </c>
      <c r="G167" s="117">
        <v>0</v>
      </c>
      <c r="H167" s="156"/>
    </row>
    <row r="168" spans="1:8">
      <c r="A168" s="42" t="s">
        <v>62</v>
      </c>
      <c r="B168" s="114"/>
      <c r="C168" s="117">
        <v>25000</v>
      </c>
      <c r="D168" s="117">
        <v>0</v>
      </c>
      <c r="E168" s="117">
        <v>0</v>
      </c>
      <c r="F168" s="117">
        <v>0</v>
      </c>
      <c r="G168" s="117">
        <v>0</v>
      </c>
    </row>
    <row r="169" spans="1:8">
      <c r="A169" s="76" t="s">
        <v>100</v>
      </c>
      <c r="B169" s="116"/>
      <c r="C169" s="49">
        <f>SUM(C170:C171)</f>
        <v>0</v>
      </c>
      <c r="D169" s="23">
        <f>SUM(D170:D171)</f>
        <v>450000</v>
      </c>
      <c r="E169" s="23">
        <f>SUM(E170:E171)</f>
        <v>1105000</v>
      </c>
      <c r="F169" s="23">
        <f>SUM(F170:F171)</f>
        <v>960000</v>
      </c>
      <c r="G169" s="160">
        <f>SUM(G170:G171)</f>
        <v>1505000</v>
      </c>
    </row>
    <row r="170" spans="1:8">
      <c r="A170" s="51" t="s">
        <v>61</v>
      </c>
      <c r="B170" s="116"/>
      <c r="C170" s="121">
        <v>0</v>
      </c>
      <c r="D170" s="121">
        <v>300000</v>
      </c>
      <c r="E170" s="121">
        <v>450000</v>
      </c>
      <c r="F170" s="121">
        <v>450000</v>
      </c>
      <c r="G170" s="122">
        <v>600000</v>
      </c>
    </row>
    <row r="171" spans="1:8">
      <c r="A171" s="51" t="s">
        <v>62</v>
      </c>
      <c r="B171" s="116"/>
      <c r="C171" s="121">
        <v>0</v>
      </c>
      <c r="D171" s="158">
        <f>300000-150000</f>
        <v>150000</v>
      </c>
      <c r="E171" s="158">
        <f>1155000-500000</f>
        <v>655000</v>
      </c>
      <c r="F171" s="158">
        <f>1010000-500000</f>
        <v>510000</v>
      </c>
      <c r="G171" s="159">
        <f>1405000-500000</f>
        <v>905000</v>
      </c>
    </row>
    <row r="172" spans="1:8">
      <c r="A172" s="39" t="s">
        <v>72</v>
      </c>
      <c r="B172" s="40"/>
      <c r="C172" s="40">
        <f>SUM(C173:C174)</f>
        <v>2795671</v>
      </c>
      <c r="D172" s="40">
        <f>SUM(D173:D174)</f>
        <v>1680000</v>
      </c>
      <c r="E172" s="40">
        <f>SUM(E173:E174)</f>
        <v>2190000</v>
      </c>
      <c r="F172" s="40">
        <f>SUM(F173:F174)</f>
        <v>2050000</v>
      </c>
      <c r="G172" s="41">
        <f>SUM(G173:G174)</f>
        <v>2600000</v>
      </c>
    </row>
    <row r="173" spans="1:8">
      <c r="A173" s="77" t="s">
        <v>61</v>
      </c>
      <c r="B173" s="72"/>
      <c r="C173" s="78">
        <f>C98+C101+C104+C107+C110+C113+C116+C119+C122+C125+C128+C131+C134+C137+C140+C143+C146+C149+C152+C155+C158+C161+C164+C167+C170</f>
        <v>1257247</v>
      </c>
      <c r="D173" s="78">
        <f>D98+D101+D104+D107+D110+D113+D116+D119+D122+D125+D128+D131+D134+D137+D140+D143+D146+D149+D152+D155+D158+D161+D164+D167+D170</f>
        <v>300000</v>
      </c>
      <c r="E173" s="78">
        <f>E98+E101+E104+E107+E110+E113+E116+E119+E122+E125+E128+E131+E134+E137+E140+E143+E146+E149+E152+E155+E158+E161+E164+E167+E170</f>
        <v>450000</v>
      </c>
      <c r="F173" s="78">
        <f>F98+F101+F104+F107+F110+F113+F116+F119+F122+F125+F128+F131+F134+F137+F140+F143+F146+F149+F152+F155+F158+F161+F164+F167+F170</f>
        <v>450000</v>
      </c>
      <c r="G173" s="78">
        <f>G98+G101+G104+G107+G110+G113+G116+G119+G122+G125+G128+G131+G134+G137+G140+G143+G146+G149+G152+G155+G158+G161+G164+G167+G170</f>
        <v>600000</v>
      </c>
      <c r="H173" s="155"/>
    </row>
    <row r="174" spans="1:8">
      <c r="A174" s="77" t="s">
        <v>62</v>
      </c>
      <c r="B174" s="72"/>
      <c r="C174" s="78">
        <f>C99+C102+C105+C105+C108+C111+C114+C117+C120+C123+C126+C129+C132+C135+C138+C141+C144+C147+C150+C153+C156+C159+C162+C165+C168+C171</f>
        <v>1538424</v>
      </c>
      <c r="D174" s="78">
        <f>D99+D102+D105+D105+D108+D111+D114+D117+D120+D123+D126+D129+D132+D135+D138+D141+D144+D147+D150+D153+D156+D159+D162+D165+D168+D171</f>
        <v>1380000</v>
      </c>
      <c r="E174" s="78">
        <f>E99+E102+E105+E105+E108+E111+E114+E117+E120+E123+E126+E129+E132+E135+E138+E141+E144+E147+E150+E153+E156+E159+E162+E165+E168+E171</f>
        <v>1740000</v>
      </c>
      <c r="F174" s="78">
        <f>F99+F102+F105+F105+F108+F111+F114+F117+F120+F123+F126+F129+F132+F135+F138+F141+F144+F147+F150+F153+F156+F159+F162+F165+F168+F171</f>
        <v>1600000</v>
      </c>
      <c r="G174" s="78">
        <f>G99+G102+G105+G105+G108+G111+G114+G117+G120+G123+G126+G129+G132+G135+G138+G141+G144+G147+G150+G153+G156+G159+G162+G165+G168+G171</f>
        <v>2000000</v>
      </c>
    </row>
  </sheetData>
  <conditionalFormatting sqref="C20 B49:G49">
    <cfRule type="cellIs" dxfId="1" priority="1" stopIfTrue="1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J6" sqref="J6"/>
    </sheetView>
  </sheetViews>
  <sheetFormatPr baseColWidth="10" defaultRowHeight="15" x14ac:dyDescent="0"/>
  <cols>
    <col min="1" max="1" width="43.33203125" customWidth="1"/>
  </cols>
  <sheetData>
    <row r="1" spans="1:7" ht="38" thickBot="1">
      <c r="A1" s="127" t="s">
        <v>113</v>
      </c>
      <c r="B1" s="2" t="s">
        <v>101</v>
      </c>
      <c r="C1" s="2" t="s">
        <v>102</v>
      </c>
      <c r="D1" s="2" t="s">
        <v>103</v>
      </c>
      <c r="E1" s="2" t="s">
        <v>2</v>
      </c>
      <c r="F1" s="2" t="s">
        <v>3</v>
      </c>
      <c r="G1" s="128" t="s">
        <v>4</v>
      </c>
    </row>
    <row r="2" spans="1:7">
      <c r="A2" s="129" t="s">
        <v>6</v>
      </c>
      <c r="B2" s="130">
        <f>'[2]Strateegia vorm KOV'!B2+'[2]Strateegia vorm sõltuv üksus'!B242-'[2]Strateegia vorm sõltuv üksus'!B246-'[2]Strateegia vorm sõltuv üksus'!B243</f>
        <v>16853021.669999998</v>
      </c>
      <c r="C2" s="130">
        <f>'[2]Strateegia vorm KOV'!C2+'[2]Strateegia vorm sõltuv üksus'!C242-'[2]Strateegia vorm sõltuv üksus'!C246-'[2]Strateegia vorm sõltuv üksus'!C243</f>
        <v>17666479</v>
      </c>
      <c r="D2" s="130">
        <f>'[2]Strateegia vorm KOV'!D2+'[2]Strateegia vorm sõltuv üksus'!D242-'[2]Strateegia vorm sõltuv üksus'!D246-'[2]Strateegia vorm sõltuv üksus'!D243</f>
        <v>18164408</v>
      </c>
      <c r="E2" s="130">
        <f>'[2]Strateegia vorm KOV'!E2+'[2]Strateegia vorm sõltuv üksus'!E242-'[2]Strateegia vorm sõltuv üksus'!E246-'[2]Strateegia vorm sõltuv üksus'!E243</f>
        <v>18614408</v>
      </c>
      <c r="F2" s="130">
        <f>'[2]Strateegia vorm KOV'!F2+'[2]Strateegia vorm sõltuv üksus'!F242-'[2]Strateegia vorm sõltuv üksus'!F246-'[2]Strateegia vorm sõltuv üksus'!F243</f>
        <v>19114408</v>
      </c>
      <c r="G2" s="131">
        <f>'[2]Strateegia vorm KOV'!G2+'[2]Strateegia vorm sõltuv üksus'!G242-'[2]Strateegia vorm sõltuv üksus'!G246-'[2]Strateegia vorm sõltuv üksus'!G243</f>
        <v>19604408</v>
      </c>
    </row>
    <row r="3" spans="1:7">
      <c r="A3" s="132" t="s">
        <v>17</v>
      </c>
      <c r="B3" s="133">
        <f>'[2]Strateegia vorm KOV'!B13+'[2]Strateegia vorm sõltuv üksus'!B245-'[2]Strateegia vorm sõltuv üksus'!B246-'[2]Strateegia vorm sõltuv üksus'!B243</f>
        <v>16054070.289999997</v>
      </c>
      <c r="C3" s="133">
        <f>'[2]Strateegia vorm KOV'!C13+'[2]Strateegia vorm sõltuv üksus'!C245-'[2]Strateegia vorm sõltuv üksus'!C246-'[2]Strateegia vorm sõltuv üksus'!C243</f>
        <v>17233911</v>
      </c>
      <c r="D3" s="133">
        <f>'[2]Strateegia vorm KOV'!D13+'[2]Strateegia vorm sõltuv üksus'!D245-'[2]Strateegia vorm sõltuv üksus'!D246-'[2]Strateegia vorm sõltuv üksus'!D243</f>
        <v>17206822.039999999</v>
      </c>
      <c r="E3" s="133">
        <f>'[2]Strateegia vorm KOV'!E13+'[2]Strateegia vorm sõltuv üksus'!E245-'[2]Strateegia vorm sõltuv üksus'!E246-'[2]Strateegia vorm sõltuv üksus'!E243</f>
        <v>17358072.039999999</v>
      </c>
      <c r="F3" s="133">
        <f>'[2]Strateegia vorm KOV'!F13+'[2]Strateegia vorm sõltuv üksus'!F245-'[2]Strateegia vorm sõltuv üksus'!F246-'[2]Strateegia vorm sõltuv üksus'!F243</f>
        <v>17740572.039999999</v>
      </c>
      <c r="G3" s="134">
        <f>'[2]Strateegia vorm KOV'!G13+'[2]Strateegia vorm sõltuv üksus'!G245-'[2]Strateegia vorm sõltuv üksus'!G246-'[2]Strateegia vorm sõltuv üksus'!G243</f>
        <v>17908022.039999999</v>
      </c>
    </row>
    <row r="4" spans="1:7">
      <c r="A4" s="135" t="s">
        <v>104</v>
      </c>
      <c r="B4" s="136">
        <f>'[2]Strateegia vorm sõltuv üksus'!B247+'[2]Strateegia vorm KOV'!B18-'[2]Strateegia vorm sõltuv üksus'!B244</f>
        <v>0</v>
      </c>
      <c r="C4" s="136">
        <f>'[2]Strateegia vorm sõltuv üksus'!C247+'[2]Strateegia vorm KOV'!C18-'[2]Strateegia vorm sõltuv üksus'!C244</f>
        <v>0</v>
      </c>
      <c r="D4" s="136">
        <f>'[2]Strateegia vorm sõltuv üksus'!D247+'[2]Strateegia vorm KOV'!D18-'[2]Strateegia vorm sõltuv üksus'!D244</f>
        <v>0</v>
      </c>
      <c r="E4" s="136">
        <f>'[2]Strateegia vorm sõltuv üksus'!E247+'[2]Strateegia vorm KOV'!E18-'[2]Strateegia vorm sõltuv üksus'!E244</f>
        <v>0</v>
      </c>
      <c r="F4" s="136">
        <f>'[2]Strateegia vorm sõltuv üksus'!F247+'[2]Strateegia vorm KOV'!F18-'[2]Strateegia vorm sõltuv üksus'!F244</f>
        <v>0</v>
      </c>
      <c r="G4" s="137">
        <f>'[2]Strateegia vorm sõltuv üksus'!G247+'[2]Strateegia vorm KOV'!G18-'[2]Strateegia vorm sõltuv üksus'!G244</f>
        <v>0</v>
      </c>
    </row>
    <row r="5" spans="1:7">
      <c r="A5" s="132" t="s">
        <v>105</v>
      </c>
      <c r="B5" s="133">
        <f t="shared" ref="B5:G5" si="0">B2-B3</f>
        <v>798951.38000000082</v>
      </c>
      <c r="C5" s="133">
        <f t="shared" si="0"/>
        <v>432568</v>
      </c>
      <c r="D5" s="133">
        <f t="shared" si="0"/>
        <v>957585.96000000089</v>
      </c>
      <c r="E5" s="133">
        <f t="shared" si="0"/>
        <v>1256335.9600000009</v>
      </c>
      <c r="F5" s="133">
        <f t="shared" si="0"/>
        <v>1373835.9600000009</v>
      </c>
      <c r="G5" s="134">
        <f t="shared" si="0"/>
        <v>1696385.9600000009</v>
      </c>
    </row>
    <row r="6" spans="1:7">
      <c r="A6" s="138" t="s">
        <v>25</v>
      </c>
      <c r="B6" s="133">
        <f>'[2]Strateegia vorm KOV'!B21+'[2]Strateegia vorm sõltuv üksus'!B249-'[2]Strateegia vorm KOV'!B30-'[2]Strateegia vorm KOV'!B29</f>
        <v>-2859197.11</v>
      </c>
      <c r="C6" s="133">
        <f>'[2]Strateegia vorm KOV'!C21+'[2]Strateegia vorm sõltuv üksus'!C249-'[2]Strateegia vorm KOV'!C30-'[2]Strateegia vorm KOV'!C29</f>
        <v>-2025877</v>
      </c>
      <c r="D6" s="133">
        <f>'[2]Strateegia vorm KOV'!D21+'[2]Strateegia vorm sõltuv üksus'!D249-'[2]Strateegia vorm KOV'!D30-'[2]Strateegia vorm KOV'!D29</f>
        <v>-1309535</v>
      </c>
      <c r="E6" s="133">
        <f>'[2]Strateegia vorm KOV'!E21+'[2]Strateegia vorm sõltuv üksus'!E249-'[2]Strateegia vorm KOV'!E30-'[2]Strateegia vorm KOV'!E29</f>
        <v>-1650471</v>
      </c>
      <c r="F6" s="133">
        <f>'[2]Strateegia vorm KOV'!F21+'[2]Strateegia vorm sõltuv üksus'!F249-'[2]Strateegia vorm KOV'!F30-'[2]Strateegia vorm KOV'!F29</f>
        <v>-1525463</v>
      </c>
      <c r="G6" s="134">
        <f>'[2]Strateegia vorm KOV'!G21+'[2]Strateegia vorm sõltuv üksus'!G249-'[2]Strateegia vorm KOV'!G30-'[2]Strateegia vorm KOV'!G29</f>
        <v>-1946973</v>
      </c>
    </row>
    <row r="7" spans="1:7">
      <c r="A7" s="138" t="s">
        <v>37</v>
      </c>
      <c r="B7" s="133">
        <f t="shared" ref="B7:G7" si="1">B5+B6</f>
        <v>-2060245.7299999991</v>
      </c>
      <c r="C7" s="133">
        <f t="shared" si="1"/>
        <v>-1593309</v>
      </c>
      <c r="D7" s="133">
        <f t="shared" si="1"/>
        <v>-351949.03999999911</v>
      </c>
      <c r="E7" s="133">
        <f t="shared" si="1"/>
        <v>-394135.03999999911</v>
      </c>
      <c r="F7" s="133">
        <f t="shared" si="1"/>
        <v>-151627.03999999911</v>
      </c>
      <c r="G7" s="134">
        <f t="shared" si="1"/>
        <v>-250587.03999999911</v>
      </c>
    </row>
    <row r="8" spans="1:7">
      <c r="A8" s="138" t="s">
        <v>38</v>
      </c>
      <c r="B8" s="133">
        <f>'[2]Strateegia vorm KOV'!B34+'[2]Strateegia vorm sõltuv üksus'!B251+'[2]Strateegia vorm KOV'!B30+'[2]Strateegia vorm KOV'!B29</f>
        <v>1904274.33</v>
      </c>
      <c r="C8" s="133">
        <f>'[2]Strateegia vorm KOV'!C34+'[2]Strateegia vorm sõltuv üksus'!C251+'[2]Strateegia vorm KOV'!C30+'[2]Strateegia vorm KOV'!C29</f>
        <v>527400</v>
      </c>
      <c r="D8" s="133">
        <f>'[2]Strateegia vorm KOV'!D34+'[2]Strateegia vorm sõltuv üksus'!D251+'[2]Strateegia vorm KOV'!D30+'[2]Strateegia vorm KOV'!D29</f>
        <v>-110140</v>
      </c>
      <c r="E8" s="133">
        <f>'[2]Strateegia vorm KOV'!E34+'[2]Strateegia vorm sõltuv üksus'!E251+'[2]Strateegia vorm KOV'!E30+'[2]Strateegia vorm KOV'!E29</f>
        <v>392704</v>
      </c>
      <c r="F8" s="133">
        <f>'[2]Strateegia vorm KOV'!F34+'[2]Strateegia vorm sõltuv üksus'!F251+'[2]Strateegia vorm KOV'!F30+'[2]Strateegia vorm KOV'!F29</f>
        <v>146108</v>
      </c>
      <c r="G8" s="134">
        <f>'[2]Strateegia vorm KOV'!G34+'[2]Strateegia vorm sõltuv üksus'!G251+'[2]Strateegia vorm KOV'!G30+'[2]Strateegia vorm KOV'!G29</f>
        <v>485048</v>
      </c>
    </row>
    <row r="9" spans="1:7" ht="25">
      <c r="A9" s="139" t="s">
        <v>41</v>
      </c>
      <c r="B9" s="133">
        <f>'[2]Strateegia vorm KOV'!B37+'[2]Strateegia vorm sõltuv üksus'!B252</f>
        <v>529920.98</v>
      </c>
      <c r="C9" s="133">
        <f>'[2]Strateegia vorm KOV'!C37+'[2]Strateegia vorm sõltuv üksus'!C252</f>
        <v>-1065909</v>
      </c>
      <c r="D9" s="133">
        <f>'[2]Strateegia vorm KOV'!D37+'[2]Strateegia vorm sõltuv üksus'!D252</f>
        <v>-462089.03999999911</v>
      </c>
      <c r="E9" s="133">
        <f>'[2]Strateegia vorm KOV'!E37+'[2]Strateegia vorm sõltuv üksus'!E252</f>
        <v>-1431.0399999991059</v>
      </c>
      <c r="F9" s="133">
        <f>'[2]Strateegia vorm KOV'!F37+'[2]Strateegia vorm sõltuv üksus'!F252</f>
        <v>-5519.0399999991059</v>
      </c>
      <c r="G9" s="134">
        <f>'[2]Strateegia vorm KOV'!G37+'[2]Strateegia vorm sõltuv üksus'!G252</f>
        <v>234460.96000000089</v>
      </c>
    </row>
    <row r="10" spans="1:7">
      <c r="A10" s="139" t="s">
        <v>106</v>
      </c>
      <c r="B10" s="133">
        <f t="shared" ref="B10:G10" si="2">B9-B7-B8</f>
        <v>685892.37999999896</v>
      </c>
      <c r="C10" s="133">
        <f t="shared" si="2"/>
        <v>0</v>
      </c>
      <c r="D10" s="133">
        <f t="shared" si="2"/>
        <v>0</v>
      </c>
      <c r="E10" s="133">
        <f t="shared" si="2"/>
        <v>0</v>
      </c>
      <c r="F10" s="133">
        <f t="shared" si="2"/>
        <v>0</v>
      </c>
      <c r="G10" s="134">
        <f t="shared" si="2"/>
        <v>0</v>
      </c>
    </row>
    <row r="11" spans="1:7">
      <c r="A11" s="140"/>
      <c r="B11" s="141"/>
      <c r="C11" s="141"/>
      <c r="D11" s="141"/>
      <c r="E11" s="141"/>
      <c r="F11" s="141"/>
      <c r="G11" s="142"/>
    </row>
    <row r="12" spans="1:7">
      <c r="A12" s="139" t="s">
        <v>45</v>
      </c>
      <c r="B12" s="133">
        <f>'[2]Strateegia vorm KOV'!B41+'[2]Strateegia vorm sõltuv üksus'!B255</f>
        <v>1630110.99</v>
      </c>
      <c r="C12" s="143">
        <f>B12+C9</f>
        <v>564201.99</v>
      </c>
      <c r="D12" s="143">
        <f>C12+D9</f>
        <v>102112.95000000088</v>
      </c>
      <c r="E12" s="143">
        <f>D12+E9</f>
        <v>100681.91000000178</v>
      </c>
      <c r="F12" s="143">
        <f>E12+F9</f>
        <v>95162.870000002673</v>
      </c>
      <c r="G12" s="144">
        <f>F12+G9</f>
        <v>329623.83000000357</v>
      </c>
    </row>
    <row r="13" spans="1:7">
      <c r="A13" s="145" t="s">
        <v>107</v>
      </c>
      <c r="B13" s="133">
        <f>'[2]Strateegia vorm KOV'!B42+'[2]Strateegia vorm sõltuv üksus'!B256-'[2]Strateegia vorm sõltuv üksus'!B258-'[2]Strateegia vorm sõltuv üksus'!B259</f>
        <v>10455959.220000001</v>
      </c>
      <c r="C13" s="133">
        <f>'[2]Strateegia vorm KOV'!C42+'[2]Strateegia vorm sõltuv üksus'!C256-'[2]Strateegia vorm sõltuv üksus'!C258-'[2]Strateegia vorm sõltuv üksus'!C259</f>
        <v>10910459.220000001</v>
      </c>
      <c r="D13" s="133">
        <f>'[2]Strateegia vorm KOV'!D42+'[2]Strateegia vorm sõltuv üksus'!D256-'[2]Strateegia vorm sõltuv üksus'!D258-'[2]Strateegia vorm sõltuv üksus'!D259</f>
        <v>10727419.220000001</v>
      </c>
      <c r="E13" s="133">
        <f>'[2]Strateegia vorm KOV'!E42+'[2]Strateegia vorm sõltuv üksus'!E256-'[2]Strateegia vorm sõltuv üksus'!E258-'[2]Strateegia vorm sõltuv üksus'!E259</f>
        <v>11120123.220000001</v>
      </c>
      <c r="F13" s="133">
        <f>'[2]Strateegia vorm KOV'!F42+'[2]Strateegia vorm sõltuv üksus'!F256-'[2]Strateegia vorm sõltuv üksus'!F258-'[2]Strateegia vorm sõltuv üksus'!F259</f>
        <v>11266231.220000001</v>
      </c>
      <c r="G13" s="134">
        <f>'[2]Strateegia vorm KOV'!G42+'[2]Strateegia vorm sõltuv üksus'!G256-'[2]Strateegia vorm sõltuv üksus'!G258-'[2]Strateegia vorm sõltuv üksus'!G259</f>
        <v>11751279.220000001</v>
      </c>
    </row>
    <row r="14" spans="1:7" ht="20">
      <c r="A14" s="146" t="s">
        <v>108</v>
      </c>
      <c r="B14" s="147">
        <f>'[2]Strateegia vorm KOV'!B44+'[2]Strateegia vorm sõltuv üksus'!B257</f>
        <v>0</v>
      </c>
      <c r="C14" s="147">
        <f>'[2]Strateegia vorm KOV'!C44+'[2]Strateegia vorm sõltuv üksus'!C257</f>
        <v>0</v>
      </c>
      <c r="D14" s="147">
        <f>'[2]Strateegia vorm KOV'!D44+'[2]Strateegia vorm sõltuv üksus'!D257</f>
        <v>0</v>
      </c>
      <c r="E14" s="147">
        <f>'[2]Strateegia vorm KOV'!E44+'[2]Strateegia vorm sõltuv üksus'!E257</f>
        <v>0</v>
      </c>
      <c r="F14" s="147">
        <f>'[2]Strateegia vorm KOV'!F44+'[2]Strateegia vorm sõltuv üksus'!F257</f>
        <v>0</v>
      </c>
      <c r="G14" s="148">
        <f>'[2]Strateegia vorm KOV'!G44+'[2]Strateegia vorm sõltuv üksus'!G257</f>
        <v>0</v>
      </c>
    </row>
    <row r="15" spans="1:7">
      <c r="A15" s="139" t="s">
        <v>109</v>
      </c>
      <c r="B15" s="149">
        <f t="shared" ref="B15:G15" si="3">IF(B13-B12&lt;0,0,B13-B12)</f>
        <v>8825848.2300000004</v>
      </c>
      <c r="C15" s="149">
        <f t="shared" si="3"/>
        <v>10346257.23</v>
      </c>
      <c r="D15" s="149">
        <f t="shared" si="3"/>
        <v>10625306.27</v>
      </c>
      <c r="E15" s="149">
        <f t="shared" si="3"/>
        <v>11019441.309999999</v>
      </c>
      <c r="F15" s="149">
        <f t="shared" si="3"/>
        <v>11171068.349999998</v>
      </c>
      <c r="G15" s="148">
        <f t="shared" si="3"/>
        <v>11421655.389999997</v>
      </c>
    </row>
    <row r="16" spans="1:7">
      <c r="A16" s="139" t="s">
        <v>110</v>
      </c>
      <c r="B16" s="150">
        <f t="shared" ref="B16:G16" si="4">B15/B2</f>
        <v>0.52369529944359239</v>
      </c>
      <c r="C16" s="150">
        <f t="shared" si="4"/>
        <v>0.58564342277824577</v>
      </c>
      <c r="D16" s="150">
        <f t="shared" si="4"/>
        <v>0.58495197145979105</v>
      </c>
      <c r="E16" s="150">
        <f t="shared" si="4"/>
        <v>0.59198451597278834</v>
      </c>
      <c r="F16" s="150">
        <f t="shared" si="4"/>
        <v>0.5844318249354099</v>
      </c>
      <c r="G16" s="151">
        <f t="shared" si="4"/>
        <v>0.58260649288670163</v>
      </c>
    </row>
    <row r="17" spans="1:7">
      <c r="A17" s="139" t="s">
        <v>111</v>
      </c>
      <c r="B17" s="147">
        <f>IF((B5+B4)*10&gt;B2,B2+B14,IF((B5+B4)*10&lt;0.8*B2,0.8*B2+B14,(B5+B4)*10+B14))</f>
        <v>13482417.335999999</v>
      </c>
      <c r="C17" s="147">
        <f>IF((C5+C4)*10&gt;C2,C2+C14,IF((C5+C4)*10&lt;0.8*C2,0.8*C2+C14,(C5+C4)*10+C14))</f>
        <v>14133183.200000001</v>
      </c>
      <c r="D17" s="147">
        <f>IF((D5+D4)*10&gt;D2,D2+D14,IF((D5+D4)*10&lt;0.8*D2,0.8*D2+D14,(D5+D4)*10+D14))</f>
        <v>14531526.4</v>
      </c>
      <c r="E17" s="147">
        <f>IF((E5+E4)*10&gt;E2,E2+E14,IF((E5+E4)*10&lt;0.8*E2,0.8*E2+E14,(E5+E4)*10+E14))</f>
        <v>14891526.4</v>
      </c>
      <c r="F17" s="147">
        <f>IF((F5+F4)*10&gt;F2,F2+F14,IF((F5+F4)*10&lt;0.8*F2,0.8*F2+F14,(F5+F4)*10+F14))</f>
        <v>15291526.4</v>
      </c>
      <c r="G17" s="148">
        <f>IF((G5+G4)*9&gt;G2,G2+G14,IF((G5+G4)*9&lt;0.75*G2,0.75*G2+G14,(G5+G4)*9+G14))</f>
        <v>15267473.640000008</v>
      </c>
    </row>
    <row r="18" spans="1:7">
      <c r="A18" s="139" t="s">
        <v>112</v>
      </c>
      <c r="B18" s="150">
        <f t="shared" ref="B18:G18" si="5">B17/B2</f>
        <v>0.8</v>
      </c>
      <c r="C18" s="150">
        <f t="shared" si="5"/>
        <v>0.8</v>
      </c>
      <c r="D18" s="150">
        <f t="shared" si="5"/>
        <v>0.8</v>
      </c>
      <c r="E18" s="150">
        <f t="shared" si="5"/>
        <v>0.8</v>
      </c>
      <c r="F18" s="150">
        <f t="shared" si="5"/>
        <v>0.8</v>
      </c>
      <c r="G18" s="151">
        <f t="shared" si="5"/>
        <v>0.77877759124376555</v>
      </c>
    </row>
    <row r="19" spans="1:7" ht="16" thickBot="1">
      <c r="A19" s="152" t="s">
        <v>53</v>
      </c>
      <c r="B19" s="153">
        <f t="shared" ref="B19:G19" si="6">B17-B15</f>
        <v>4656569.1059999987</v>
      </c>
      <c r="C19" s="153">
        <f t="shared" si="6"/>
        <v>3786925.9700000007</v>
      </c>
      <c r="D19" s="153">
        <f t="shared" si="6"/>
        <v>3906220.1300000008</v>
      </c>
      <c r="E19" s="153">
        <f t="shared" si="6"/>
        <v>3872085.0900000017</v>
      </c>
      <c r="F19" s="153">
        <f t="shared" si="6"/>
        <v>4120458.0500000026</v>
      </c>
      <c r="G19" s="154">
        <f t="shared" si="6"/>
        <v>3845818.2500000112</v>
      </c>
    </row>
  </sheetData>
  <conditionalFormatting sqref="B19:G19">
    <cfRule type="cellIs" dxfId="0" priority="1" stopIfTrue="1" operator="lessThan">
      <formula>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EA strateegia</vt:lpstr>
      <vt:lpstr>Arvestusüksus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Ylo Peets</dc:creator>
  <cp:lastModifiedBy>Ylo Peets</cp:lastModifiedBy>
  <dcterms:created xsi:type="dcterms:W3CDTF">2022-10-04T06:27:02Z</dcterms:created>
  <dcterms:modified xsi:type="dcterms:W3CDTF">2022-10-06T12:27:16Z</dcterms:modified>
</cp:coreProperties>
</file>